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Google Диск\Обучение\Задания\"/>
    </mc:Choice>
  </mc:AlternateContent>
  <xr:revisionPtr revIDLastSave="0" documentId="13_ncr:1_{4C116296-1FB0-4286-BB4F-63A4A92BB5D7}" xr6:coauthVersionLast="46" xr6:coauthVersionMax="46" xr10:uidLastSave="{00000000-0000-0000-0000-000000000000}"/>
  <bookViews>
    <workbookView xWindow="5970" yWindow="165" windowWidth="19665" windowHeight="13665" xr2:uid="{00000000-000D-0000-FFFF-FFFF00000000}"/>
  </bookViews>
  <sheets>
    <sheet name="3.1" sheetId="7" r:id="rId1"/>
    <sheet name="3.2" sheetId="9" r:id="rId2"/>
    <sheet name="3.3" sheetId="11" r:id="rId3"/>
    <sheet name="3.4-3.6" sheetId="12" r:id="rId4"/>
    <sheet name="План рахунків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2" l="1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  <c r="J11" i="12"/>
  <c r="I11" i="12"/>
  <c r="J10" i="12"/>
  <c r="I10" i="12"/>
  <c r="J9" i="12"/>
  <c r="I9" i="12"/>
  <c r="J8" i="12"/>
  <c r="I8" i="12"/>
  <c r="J7" i="12"/>
  <c r="I7" i="12"/>
  <c r="J6" i="12"/>
  <c r="I6" i="12"/>
  <c r="J5" i="12"/>
  <c r="I5" i="12"/>
  <c r="J4" i="12"/>
  <c r="I4" i="12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7" i="11"/>
  <c r="H7" i="11"/>
  <c r="G7" i="11"/>
  <c r="I6" i="11"/>
  <c r="H6" i="11"/>
  <c r="G6" i="11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7" i="9"/>
  <c r="H7" i="9"/>
  <c r="G7" i="9"/>
  <c r="I6" i="9"/>
  <c r="H6" i="9"/>
  <c r="G6" i="9"/>
  <c r="I25" i="7"/>
  <c r="H25" i="7"/>
  <c r="G25" i="7"/>
  <c r="I24" i="7"/>
  <c r="H24" i="7"/>
  <c r="G24" i="7"/>
  <c r="I23" i="7"/>
  <c r="H23" i="7"/>
  <c r="G23" i="7"/>
  <c r="I22" i="7"/>
  <c r="H22" i="7"/>
  <c r="G22" i="7"/>
  <c r="I21" i="7"/>
  <c r="H21" i="7"/>
  <c r="G21" i="7"/>
  <c r="I19" i="7"/>
  <c r="H19" i="7"/>
  <c r="G19" i="7"/>
  <c r="I18" i="7"/>
  <c r="H18" i="7"/>
  <c r="G18" i="7"/>
  <c r="I17" i="7"/>
  <c r="H17" i="7"/>
  <c r="G17" i="7"/>
  <c r="I16" i="7"/>
  <c r="H16" i="7"/>
  <c r="G16" i="7"/>
  <c r="I15" i="7"/>
  <c r="H15" i="7"/>
  <c r="G15" i="7"/>
  <c r="I14" i="7"/>
  <c r="H14" i="7"/>
  <c r="G14" i="7"/>
  <c r="I13" i="7"/>
  <c r="H13" i="7"/>
  <c r="G13" i="7"/>
  <c r="I12" i="7"/>
  <c r="H12" i="7"/>
  <c r="G12" i="7"/>
  <c r="I11" i="7"/>
  <c r="H11" i="7"/>
  <c r="G11" i="7"/>
  <c r="I10" i="7" l="1"/>
  <c r="H10" i="7"/>
  <c r="G10" i="7"/>
  <c r="I9" i="7"/>
  <c r="H9" i="7"/>
  <c r="G9" i="7"/>
  <c r="I8" i="7"/>
  <c r="H8" i="7"/>
  <c r="G8" i="7"/>
  <c r="I7" i="7"/>
  <c r="H7" i="7"/>
  <c r="G7" i="7"/>
  <c r="I6" i="7"/>
  <c r="H6" i="7"/>
  <c r="G6" i="7"/>
  <c r="E51" i="11" l="1"/>
  <c r="D51" i="11"/>
  <c r="G50" i="11"/>
  <c r="F50" i="11"/>
  <c r="G49" i="11"/>
  <c r="F49" i="11"/>
  <c r="I49" i="11" s="1"/>
  <c r="G48" i="11"/>
  <c r="F48" i="11"/>
  <c r="G47" i="11"/>
  <c r="F47" i="11"/>
  <c r="H47" i="11" s="1"/>
  <c r="G46" i="11"/>
  <c r="F46" i="11"/>
  <c r="I46" i="11" s="1"/>
  <c r="G45" i="11"/>
  <c r="I45" i="11" s="1"/>
  <c r="G44" i="11"/>
  <c r="F44" i="11"/>
  <c r="G43" i="11"/>
  <c r="I43" i="11" s="1"/>
  <c r="G42" i="11"/>
  <c r="F42" i="11"/>
  <c r="I42" i="11" s="1"/>
  <c r="G41" i="11"/>
  <c r="F41" i="11"/>
  <c r="G40" i="11"/>
  <c r="F40" i="11"/>
  <c r="I40" i="11" s="1"/>
  <c r="G39" i="11"/>
  <c r="F39" i="11"/>
  <c r="G38" i="11"/>
  <c r="F38" i="11"/>
  <c r="I38" i="11" s="1"/>
  <c r="G37" i="11"/>
  <c r="F37" i="11"/>
  <c r="G36" i="11"/>
  <c r="F36" i="11"/>
  <c r="I36" i="11" s="1"/>
  <c r="G35" i="11"/>
  <c r="F34" i="11"/>
  <c r="H34" i="11" s="1"/>
  <c r="E52" i="9"/>
  <c r="D52" i="9"/>
  <c r="G51" i="9"/>
  <c r="F51" i="9"/>
  <c r="G50" i="9"/>
  <c r="F50" i="9"/>
  <c r="G49" i="9"/>
  <c r="F49" i="9"/>
  <c r="G48" i="9"/>
  <c r="F48" i="9"/>
  <c r="G47" i="9"/>
  <c r="F47" i="9"/>
  <c r="G46" i="9"/>
  <c r="I46" i="9" s="1"/>
  <c r="G45" i="9"/>
  <c r="H45" i="9" s="1"/>
  <c r="G44" i="9"/>
  <c r="F44" i="9"/>
  <c r="G43" i="9"/>
  <c r="I43" i="9" s="1"/>
  <c r="G42" i="9"/>
  <c r="I42" i="9" s="1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4" i="9"/>
  <c r="H34" i="9" s="1"/>
  <c r="E47" i="7"/>
  <c r="D47" i="7"/>
  <c r="G46" i="7"/>
  <c r="F46" i="7"/>
  <c r="G45" i="7"/>
  <c r="F45" i="7"/>
  <c r="G44" i="7"/>
  <c r="F44" i="7"/>
  <c r="G43" i="7"/>
  <c r="F43" i="7"/>
  <c r="I43" i="7" s="1"/>
  <c r="G42" i="7"/>
  <c r="F42" i="7"/>
  <c r="G41" i="7"/>
  <c r="F41" i="7"/>
  <c r="G40" i="7"/>
  <c r="F40" i="7"/>
  <c r="G39" i="7"/>
  <c r="F39" i="7"/>
  <c r="G38" i="7"/>
  <c r="I38" i="7" s="1"/>
  <c r="G37" i="7"/>
  <c r="I37" i="7" s="1"/>
  <c r="G36" i="7"/>
  <c r="F36" i="7"/>
  <c r="G35" i="7"/>
  <c r="F35" i="7"/>
  <c r="I35" i="7" s="1"/>
  <c r="G34" i="7"/>
  <c r="F34" i="7"/>
  <c r="G33" i="7"/>
  <c r="F33" i="7"/>
  <c r="G32" i="7"/>
  <c r="F32" i="7"/>
  <c r="I32" i="7" s="1"/>
  <c r="H40" i="7" l="1"/>
  <c r="H44" i="9"/>
  <c r="I44" i="11"/>
  <c r="I44" i="9"/>
  <c r="I44" i="7"/>
  <c r="I46" i="7"/>
  <c r="I34" i="11"/>
  <c r="H50" i="11"/>
  <c r="H42" i="7"/>
  <c r="H41" i="7"/>
  <c r="I33" i="7"/>
  <c r="I41" i="7"/>
  <c r="H45" i="7"/>
  <c r="I36" i="7"/>
  <c r="H44" i="7"/>
  <c r="I34" i="7"/>
  <c r="H46" i="11"/>
  <c r="I48" i="11"/>
  <c r="I50" i="11"/>
  <c r="G51" i="11"/>
  <c r="H35" i="11"/>
  <c r="I37" i="11"/>
  <c r="I39" i="11"/>
  <c r="I41" i="11"/>
  <c r="H45" i="11"/>
  <c r="I47" i="11"/>
  <c r="H49" i="11"/>
  <c r="I35" i="11"/>
  <c r="H44" i="11"/>
  <c r="H48" i="11"/>
  <c r="I47" i="9"/>
  <c r="H38" i="7"/>
  <c r="I42" i="7"/>
  <c r="H43" i="7"/>
  <c r="I45" i="7"/>
  <c r="G47" i="7"/>
  <c r="I39" i="7"/>
  <c r="I40" i="7"/>
  <c r="H46" i="7"/>
  <c r="H42" i="9"/>
  <c r="I50" i="9"/>
  <c r="G52" i="9"/>
  <c r="I49" i="9"/>
  <c r="I51" i="9"/>
  <c r="I36" i="9"/>
  <c r="I38" i="9"/>
  <c r="I40" i="9"/>
  <c r="I45" i="9"/>
  <c r="I48" i="9"/>
  <c r="I34" i="9"/>
  <c r="I37" i="9"/>
  <c r="I39" i="9"/>
  <c r="I41" i="9"/>
  <c r="H43" i="9"/>
  <c r="H39" i="7"/>
  <c r="F51" i="11"/>
  <c r="H43" i="11"/>
  <c r="H36" i="11"/>
  <c r="H37" i="11"/>
  <c r="H38" i="11"/>
  <c r="H39" i="11"/>
  <c r="H40" i="11"/>
  <c r="H41" i="11"/>
  <c r="H42" i="11"/>
  <c r="H35" i="9"/>
  <c r="H36" i="9"/>
  <c r="H37" i="9"/>
  <c r="H38" i="9"/>
  <c r="H39" i="9"/>
  <c r="H40" i="9"/>
  <c r="H41" i="9"/>
  <c r="H46" i="9"/>
  <c r="H47" i="9"/>
  <c r="H48" i="9"/>
  <c r="H49" i="9"/>
  <c r="H50" i="9"/>
  <c r="H51" i="9"/>
  <c r="F52" i="9"/>
  <c r="I35" i="9"/>
  <c r="F47" i="7"/>
  <c r="H37" i="7"/>
  <c r="H33" i="7"/>
  <c r="H34" i="7"/>
  <c r="H35" i="7"/>
  <c r="H36" i="7"/>
  <c r="H32" i="7"/>
  <c r="I51" i="11" l="1"/>
  <c r="H51" i="11"/>
  <c r="I47" i="7"/>
  <c r="I52" i="9"/>
  <c r="H52" i="9"/>
  <c r="H47" i="7"/>
  <c r="N34" i="11"/>
  <c r="N35" i="11" s="1"/>
  <c r="L34" i="11"/>
  <c r="L35" i="11" s="1"/>
  <c r="L11" i="11"/>
  <c r="N34" i="9"/>
  <c r="N35" i="9" s="1"/>
  <c r="L34" i="9"/>
  <c r="L35" i="9" s="1"/>
  <c r="N34" i="7"/>
  <c r="N35" i="7" s="1"/>
  <c r="L34" i="7"/>
  <c r="L35" i="7" s="1"/>
  <c r="N21" i="11" l="1"/>
  <c r="N22" i="11" s="1"/>
  <c r="L21" i="11"/>
  <c r="L22" i="11" s="1"/>
  <c r="N11" i="11"/>
  <c r="L12" i="11" l="1"/>
  <c r="L13" i="11" s="1"/>
  <c r="N21" i="9"/>
  <c r="N22" i="9" s="1"/>
  <c r="L21" i="9"/>
  <c r="L22" i="9" s="1"/>
  <c r="N10" i="9"/>
  <c r="L10" i="9"/>
  <c r="N21" i="7"/>
  <c r="N22" i="7" s="1"/>
  <c r="L21" i="7"/>
  <c r="L22" i="7" s="1"/>
  <c r="N12" i="7"/>
  <c r="L12" i="7"/>
  <c r="L13" i="7" l="1"/>
  <c r="L14" i="7" s="1"/>
  <c r="L11" i="9"/>
  <c r="L12" i="9" s="1"/>
</calcChain>
</file>

<file path=xl/sharedStrings.xml><?xml version="1.0" encoding="utf-8"?>
<sst xmlns="http://schemas.openxmlformats.org/spreadsheetml/2006/main" count="506" uniqueCount="239">
  <si>
    <t>№</t>
  </si>
  <si>
    <t>Актив</t>
  </si>
  <si>
    <t>Дебет</t>
  </si>
  <si>
    <t>Кредит</t>
  </si>
  <si>
    <t>-</t>
  </si>
  <si>
    <t>Оборот</t>
  </si>
  <si>
    <t>Сальдо по дебету</t>
  </si>
  <si>
    <t>Сальдо по кредиту</t>
  </si>
  <si>
    <t>Баланс</t>
  </si>
  <si>
    <t>А</t>
  </si>
  <si>
    <t>АП</t>
  </si>
  <si>
    <t>П</t>
  </si>
  <si>
    <t>Дт</t>
  </si>
  <si>
    <t>Кт</t>
  </si>
  <si>
    <t>Дт 26</t>
  </si>
  <si>
    <t>Кт 441</t>
  </si>
  <si>
    <t>Дт 361</t>
  </si>
  <si>
    <t>Кт 661</t>
  </si>
  <si>
    <t>Дт 105</t>
  </si>
  <si>
    <t>Кт 631</t>
  </si>
  <si>
    <t>Дт 301</t>
  </si>
  <si>
    <t>Кт 40</t>
  </si>
  <si>
    <t>Дт 631</t>
  </si>
  <si>
    <t>Кт 601</t>
  </si>
  <si>
    <t>Дт 281</t>
  </si>
  <si>
    <t>Кт 361</t>
  </si>
  <si>
    <t>Дт 201</t>
  </si>
  <si>
    <t>Кт 641</t>
  </si>
  <si>
    <t>Дт 152</t>
  </si>
  <si>
    <t>Кт 651</t>
  </si>
  <si>
    <t>Дт 46</t>
  </si>
  <si>
    <t>Кт 684</t>
  </si>
  <si>
    <t>Дт 23</t>
  </si>
  <si>
    <t>Завдання 3.1</t>
  </si>
  <si>
    <t xml:space="preserve">Сформовано статутний капітал на суму 10000 грн. Але він ще не оплачений </t>
  </si>
  <si>
    <t xml:space="preserve">Власник вніс 10000 грн. на поточний рахунок як оплату статутного капіталу. </t>
  </si>
  <si>
    <t xml:space="preserve">Зроблена передоплата постачальнику за товари в сумі 8000 грн. </t>
  </si>
  <si>
    <t xml:space="preserve">Від постачальника надійшли товари на суму 8000 грн. </t>
  </si>
  <si>
    <t xml:space="preserve">Від покупця надійшла передоплата на поточний рахунок за товари в сумі 12000 грн. </t>
  </si>
  <si>
    <t xml:space="preserve">Товари вартістю 8000 грн. реалізовані покупцеві за 12000 грн. </t>
  </si>
  <si>
    <t xml:space="preserve">Підзвітній особі видано з поточного рахунку 500 грн. на відрядження. </t>
  </si>
  <si>
    <t xml:space="preserve">Підзвітна особа (директор) відзвітувала за відрядження в сумі 500 грн. </t>
  </si>
  <si>
    <t xml:space="preserve">Від постачальника отримані послуги з реклами на суму 1000 грн. </t>
  </si>
  <si>
    <t xml:space="preserve">Нарахована зарплата адміністративному персоналу в сумі 1500 грн. </t>
  </si>
  <si>
    <t xml:space="preserve">В касу з поточного рахунку надійшло 1500 грн. </t>
  </si>
  <si>
    <t xml:space="preserve">З каси виплачена зарплата в сумі 1500 грн. </t>
  </si>
  <si>
    <t xml:space="preserve">Банк зняв з поточного рахунку 100 грн. за розрахунково-касове обслуговування. </t>
  </si>
  <si>
    <t xml:space="preserve">Визначено фінансовий результат за місяць. </t>
  </si>
  <si>
    <t xml:space="preserve">а) "закриваємо" рахунок 702 </t>
  </si>
  <si>
    <t xml:space="preserve">б) "закриваємо" рахунок 902 </t>
  </si>
  <si>
    <t xml:space="preserve">в) "закриваємо" рахунок 92 </t>
  </si>
  <si>
    <t xml:space="preserve">г) "закриваємо" рахунок 93 </t>
  </si>
  <si>
    <t xml:space="preserve">д) "закриваємо" рахунок 791 і фіксуємо отриманий прибуток або збиток </t>
  </si>
  <si>
    <t>Зміст операції</t>
  </si>
  <si>
    <t>Сума</t>
  </si>
  <si>
    <t>Перевірка</t>
  </si>
  <si>
    <t>Рахунок 311</t>
  </si>
  <si>
    <t>№ операції</t>
  </si>
  <si>
    <t xml:space="preserve">Сальдо початкове </t>
  </si>
  <si>
    <r>
      <t xml:space="preserve">Сальдо </t>
    </r>
    <r>
      <rPr>
        <b/>
        <sz val="10"/>
        <rFont val="Arial"/>
        <family val="2"/>
        <charset val="204"/>
      </rPr>
      <t>кінцеве</t>
    </r>
    <r>
      <rPr>
        <sz val="10"/>
        <rFont val="Arial"/>
        <family val="2"/>
        <charset val="204"/>
      </rPr>
      <t xml:space="preserve">  </t>
    </r>
  </si>
  <si>
    <t xml:space="preserve">Сальдо кінцеве  </t>
  </si>
  <si>
    <t>Перевіряється сальдо кінцеве</t>
  </si>
  <si>
    <t>Сальдо за рахунками:</t>
  </si>
  <si>
    <t>№ рахунка</t>
  </si>
  <si>
    <t>Всього</t>
  </si>
  <si>
    <t>Пасив</t>
  </si>
  <si>
    <t>Стаття</t>
  </si>
  <si>
    <t>Капітальні інвестиції</t>
  </si>
  <si>
    <t>Зареєстрований капітал</t>
  </si>
  <si>
    <t xml:space="preserve">Первісна вартість ОЗ </t>
  </si>
  <si>
    <t>Знос  ОЗ (зі знаком "-")</t>
  </si>
  <si>
    <t>Неоплачений капітал</t>
  </si>
  <si>
    <t>Запаси</t>
  </si>
  <si>
    <t>Борг перед банком</t>
  </si>
  <si>
    <t>Дебіторська заборгованість покупців</t>
  </si>
  <si>
    <t>Борг перед постачальниками</t>
  </si>
  <si>
    <t xml:space="preserve">Інша дебіторська заборгованість </t>
  </si>
  <si>
    <t>Борг по зарплаті</t>
  </si>
  <si>
    <t>Гроші</t>
  </si>
  <si>
    <t>Інша кредит.заборгованість</t>
  </si>
  <si>
    <t xml:space="preserve">Прибуток </t>
  </si>
  <si>
    <t>Перевіряються підсумкові дані по сальдо</t>
  </si>
  <si>
    <t>Перевіряються підсумкові дані по Активу и Пасиву</t>
  </si>
  <si>
    <t>Скласти проводки за операціями, визначити фінансовий результат, вивести сальдо по рахунках і побудувати баланс на кінець періоду.</t>
  </si>
  <si>
    <t xml:space="preserve">В процесі відображень операцій використовуємо рахунки, зазначені в Основному плані рахунків. </t>
  </si>
  <si>
    <t>Перевіряється правильність вказаних рахунків по дебету та кредиту, а також суми</t>
  </si>
  <si>
    <t>Завдання 3.2</t>
  </si>
  <si>
    <t>В процесі відображень операцій використовуємо рахунки, зазначені в Основному плані рахунків. Якщо необхідно буде використовувати Повний план рахунків, то про це зазначається окремо.</t>
  </si>
  <si>
    <t xml:space="preserve">На поточний банківський рахунок надійшло 15000 грн. в якості банківського кредиту терміном на 1 рік. </t>
  </si>
  <si>
    <t xml:space="preserve">Від постачальника надійшли матеріали на суму 5000 грн. </t>
  </si>
  <si>
    <t xml:space="preserve">Постачальнику перераховано 5000 грн. за матеріали. </t>
  </si>
  <si>
    <t xml:space="preserve">Покупцям (клієнтам) надано послуги на суму 10000 грн. </t>
  </si>
  <si>
    <t xml:space="preserve">Від покупців надійшла оплата в касу за надані послуги в сумі 10000 грн. </t>
  </si>
  <si>
    <t xml:space="preserve">З каси гроші в сумі 10000 грн. передані на поточний банківський рахунок. </t>
  </si>
  <si>
    <t xml:space="preserve">Матеріали в сумі 4000 грн. списані на витрати, пов'язані з виробництвом (наданням) послуг. </t>
  </si>
  <si>
    <t xml:space="preserve">Зроблена передоплата постачальнику за обладнання в сумі 15000 грн. </t>
  </si>
  <si>
    <t xml:space="preserve">Від постачальника надійшло обладнання в сумі 15000 грн. </t>
  </si>
  <si>
    <t xml:space="preserve">Обладнання введено в експлуатацію. </t>
  </si>
  <si>
    <t xml:space="preserve">Нараховано відсотки по кредиту в сумі 500 грн. (рахунки знаходимо в повному плані рахунків). </t>
  </si>
  <si>
    <t xml:space="preserve">Нарахована зарплата адміністративному персоналу в сумі 1500 грн. і працівникам, які надають послуги, в сумі 2000 грн. </t>
  </si>
  <si>
    <t xml:space="preserve">Нарахована амортизація по обладнанню, яке використовується при наданні послуг, в сумі 500 грн. </t>
  </si>
  <si>
    <t xml:space="preserve">Визначено собівартість наданих послуг. </t>
  </si>
  <si>
    <t xml:space="preserve">а) "закриваємо" рахунок 703 </t>
  </si>
  <si>
    <t xml:space="preserve">б) "закриваємо" рахунок 903 </t>
  </si>
  <si>
    <t>Завдання 3.3</t>
  </si>
  <si>
    <t xml:space="preserve">Надійшла передоплата на поточний рахунок від покупця в сумі 4000 грн. </t>
  </si>
  <si>
    <t xml:space="preserve">Від постачальника надійшли товари на суму 2500 грн. </t>
  </si>
  <si>
    <t xml:space="preserve">Покупцеві від якого надійшла передоплата реалізовані товари вартістю 2500 грн. за 4000 грн. </t>
  </si>
  <si>
    <t xml:space="preserve">Підзвітна особа закупила матеріали на суму 300 грн. </t>
  </si>
  <si>
    <t xml:space="preserve">В касу з поточного рахунку отримано 300 грн. </t>
  </si>
  <si>
    <t xml:space="preserve">Підзвітній особі виплачено 300 грн. з каси за закуплені матеріали. </t>
  </si>
  <si>
    <t xml:space="preserve">Матеріали в сумі 200 грн. списані на адміністративні витрати. </t>
  </si>
  <si>
    <t xml:space="preserve">Зроблена передоплата постачальнику за програму «1С:Бухгалтерія» в сумі 900 грн. </t>
  </si>
  <si>
    <t xml:space="preserve">Від постачальника надійшла програма «1С: Бухгалтерія» (використовуватиметься в бухгалтерії) на суму 900 грн. </t>
  </si>
  <si>
    <t xml:space="preserve">Програма введена в експлуатацію. </t>
  </si>
  <si>
    <t xml:space="preserve">Постачальником надано послуги доступу в Інтернет на суму 200 грн. </t>
  </si>
  <si>
    <t xml:space="preserve">Нарахована зарплата працівникам збуту в сумі 1000 грн. </t>
  </si>
  <si>
    <t xml:space="preserve">Нарахована амортизація за місяць за програмою «1С:Бухгалтерія», термін передбачуваного використання якої - 30 місяців (рахунок зносу знаходимо в повному плані рахунків). </t>
  </si>
  <si>
    <t xml:space="preserve">в) "закриваємо" рахунок 93 </t>
  </si>
  <si>
    <t>Завдання 3.4</t>
  </si>
  <si>
    <t>Завдання 3.5</t>
  </si>
  <si>
    <t>Завдання 3.6</t>
  </si>
  <si>
    <t>Вказати економічний зміст проводки</t>
  </si>
  <si>
    <t>Поступив товар на склад від постачальника</t>
  </si>
  <si>
    <t>Зміст</t>
  </si>
  <si>
    <t>Вказати проводки по операціях:</t>
  </si>
  <si>
    <t>Матеріали передані зі складу у виробництво</t>
  </si>
  <si>
    <t>Сформований статутний капітал</t>
  </si>
  <si>
    <t>Гроші з каси надійшли на поточний рахунок</t>
  </si>
  <si>
    <t>Надійшли транспортні засоби від постачальника</t>
  </si>
  <si>
    <t>Підзвітна особа закупила матеріали</t>
  </si>
  <si>
    <t>Виплачено банку короткостроковий кредит</t>
  </si>
  <si>
    <t>Нараховано зарплату працівникам виробництва</t>
  </si>
  <si>
    <t>З виробництва надійшла готова продукція</t>
  </si>
  <si>
    <t>Відображено отриманий збиток за підсумками місяця</t>
  </si>
  <si>
    <t>Підзвітна особа повернула гроші в касу</t>
  </si>
  <si>
    <t>Обладнання введено в експлуатацію</t>
  </si>
  <si>
    <t>Відображено дохід від реалізації послуг</t>
  </si>
  <si>
    <t>Отримано послуги з оренди офісу</t>
  </si>
  <si>
    <t>Відображена собівартість реалізованих товарів зі складу</t>
  </si>
  <si>
    <t>Виплачена зарплата працівникам з каси</t>
  </si>
  <si>
    <t>Власник вніс гроші на поточний рахунок в якості оплати статутного капіталу</t>
  </si>
  <si>
    <t>Вказати економічну суть сальдо (залишок) і на яких статтях Балансу вони позначаються:</t>
  </si>
  <si>
    <t>Залишок готової продукції на складі</t>
  </si>
  <si>
    <t>Зміст залишків</t>
  </si>
  <si>
    <t>Тип сальдо и № рахунка</t>
  </si>
  <si>
    <t xml:space="preserve">№ рядка
 Балансу
</t>
  </si>
  <si>
    <t>Перевірка рядка Балансу</t>
  </si>
  <si>
    <t>№ рах.</t>
  </si>
  <si>
    <t>Найменування</t>
  </si>
  <si>
    <t>Тип рахунку</t>
  </si>
  <si>
    <t>Необоротні активи</t>
  </si>
  <si>
    <t>Машини та обладнання</t>
  </si>
  <si>
    <t>Транспортні засоби</t>
  </si>
  <si>
    <t>Інструменти, прилади та інвентар</t>
  </si>
  <si>
    <t>Малоцінні необоротні матеріальні активи</t>
  </si>
  <si>
    <t>Інші нематеріальні активи</t>
  </si>
  <si>
    <t>Знос основних засобів</t>
  </si>
  <si>
    <t>Придбання (виготовлення) основних засобів</t>
  </si>
  <si>
    <t>Придбання (створення) нематеріальних активів</t>
  </si>
  <si>
    <t>Оборотні активи</t>
  </si>
  <si>
    <t>Сировина і матеріали</t>
  </si>
  <si>
    <t>Виробництво</t>
  </si>
  <si>
    <t>Готова продукція</t>
  </si>
  <si>
    <t>Товари на складі</t>
  </si>
  <si>
    <t>Товари в торгівлі (магазині)</t>
  </si>
  <si>
    <t>Каса в національній валюті</t>
  </si>
  <si>
    <t>Поточні рахунки в національній валюті</t>
  </si>
  <si>
    <t>Розрахунки з вітчизняними покупцями</t>
  </si>
  <si>
    <t>Розрахунки з підзвітними особами</t>
  </si>
  <si>
    <t>Розрахунки з державними цільовими фондами</t>
  </si>
  <si>
    <t>Власний капітал</t>
  </si>
  <si>
    <t>Статутний капітал</t>
  </si>
  <si>
    <t>Прибуток нерозподілений</t>
  </si>
  <si>
    <t>Непокриті збитки</t>
  </si>
  <si>
    <t>Поточні зобов'язання</t>
  </si>
  <si>
    <t>Короткострокові кредити банків у національній валюті</t>
  </si>
  <si>
    <t>Розрахунки з вітчизняними постачальниками</t>
  </si>
  <si>
    <t>Розрахунки за податками</t>
  </si>
  <si>
    <t>Податкові зобов'язання</t>
  </si>
  <si>
    <t>Податкові зобов'язання непідтверджені</t>
  </si>
  <si>
    <t>Податковий кредит</t>
  </si>
  <si>
    <t>Податковий кредит непідтверджений</t>
  </si>
  <si>
    <t>Розрахунки з єдиного соціального внеску</t>
  </si>
  <si>
    <t>Розрахунки по заробітній платі</t>
  </si>
  <si>
    <t>Доходи і фінансові результати</t>
  </si>
  <si>
    <t>Дохід від реалізації готової продукції</t>
  </si>
  <si>
    <t>Дохід від реалізації товарів</t>
  </si>
  <si>
    <t>Дохід від реалізації робіт і послуг</t>
  </si>
  <si>
    <t>Витрати</t>
  </si>
  <si>
    <t>Собівартість реалізованої готової продукції</t>
  </si>
  <si>
    <t>Собівартість реалізованих товарів</t>
  </si>
  <si>
    <t>Собівартість реалізованих робіт і послуг</t>
  </si>
  <si>
    <t>Загальновиробничі витрати</t>
  </si>
  <si>
    <t>Адміністративні витрати</t>
  </si>
  <si>
    <t>Витрати на збут</t>
  </si>
  <si>
    <t>Податки на прибуток від звичайної діяльності</t>
  </si>
  <si>
    <t>грн.</t>
  </si>
  <si>
    <t>Оборотно-сальдова відомість по рахунках</t>
  </si>
  <si>
    <t>(на початок періоду залишків не було)</t>
  </si>
  <si>
    <t>№ та назва бухгалтерського рахунку</t>
  </si>
  <si>
    <t>Сальдо початкове</t>
  </si>
  <si>
    <t>Обороти за період</t>
  </si>
  <si>
    <t>Сальдо кінцеве</t>
  </si>
  <si>
    <t>Нам повинні покупці</t>
  </si>
  <si>
    <t xml:space="preserve"> 281 "Товари на складі"</t>
  </si>
  <si>
    <t xml:space="preserve"> 301 "Каса в національній валюті"</t>
  </si>
  <si>
    <t xml:space="preserve"> 311 "Поточні рахунки в національній валюті"</t>
  </si>
  <si>
    <t xml:space="preserve"> 361 "Розрахунки з вітчизняними покупцями"</t>
  </si>
  <si>
    <t xml:space="preserve"> 372 "Розрахунки з підзвітними особами"</t>
  </si>
  <si>
    <t xml:space="preserve"> 40 "Статутний капітал"</t>
  </si>
  <si>
    <t xml:space="preserve"> 441 "Прибуток нерозподілений"</t>
  </si>
  <si>
    <t xml:space="preserve"> 46 "Неоплачений капітал"</t>
  </si>
  <si>
    <t xml:space="preserve"> 631 "Розрахунки з вітчизняними постачальниками"</t>
  </si>
  <si>
    <t xml:space="preserve"> 631 "Розрахунки з постачальниками"</t>
  </si>
  <si>
    <t xml:space="preserve"> 661 "Розрахунки по заробітній платі"</t>
  </si>
  <si>
    <t xml:space="preserve"> 702 "Дохід від реалізації товарів"</t>
  </si>
  <si>
    <t xml:space="preserve"> 902 "Собівартість реалізованих товарів"</t>
  </si>
  <si>
    <t xml:space="preserve"> 92 "Адміністративні витрати"</t>
  </si>
  <si>
    <t xml:space="preserve"> 93 "Витрати на збут"</t>
  </si>
  <si>
    <t>Результат операційної діяльності</t>
  </si>
  <si>
    <t xml:space="preserve"> 791 "Результат операційної діяльності"</t>
  </si>
  <si>
    <t xml:space="preserve"> 104 "Машини та обладнання"</t>
  </si>
  <si>
    <t xml:space="preserve"> 131 "Знос основних засобів"</t>
  </si>
  <si>
    <t xml:space="preserve"> 152 "Придбання основних засобів"</t>
  </si>
  <si>
    <t xml:space="preserve"> 201 "Сировина і матеріали"</t>
  </si>
  <si>
    <t xml:space="preserve"> 23 "Виробництво"</t>
  </si>
  <si>
    <t xml:space="preserve"> 601 "Короткострокові кредити банків"</t>
  </si>
  <si>
    <t xml:space="preserve"> 684 "Розрахунки за нарахованими відсотками"</t>
  </si>
  <si>
    <t xml:space="preserve"> 951 "Відсотки за кредит"</t>
  </si>
  <si>
    <t xml:space="preserve"> 703 "Дохід від реалізації робіт і послуг"</t>
  </si>
  <si>
    <t xml:space="preserve"> 903 "Собівартість реалізованих робіт і послуг"</t>
  </si>
  <si>
    <t xml:space="preserve"> 127 "Інші нематеріальні активи"</t>
  </si>
  <si>
    <t xml:space="preserve"> 133 "Амортизація нематеріальних активів"</t>
  </si>
  <si>
    <t xml:space="preserve"> 154 "Придбання нематеріальних активів"</t>
  </si>
  <si>
    <t>Первісна вартість НМА</t>
  </si>
  <si>
    <t>Амортизація НМА (зі знаком "-")</t>
  </si>
  <si>
    <t>г) "закриваємо" рахунок 951 (на рах.791)</t>
  </si>
  <si>
    <t xml:space="preserve">Постачальнику перераховано з поточного рахунку 2500 грн. за отримані товари.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</si>
</sst>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73763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</font>
    <font>
      <sz val="10"/>
      <color rgb="FF0000FF"/>
      <name val="Arial"/>
    </font>
    <font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4" tint="0.39997558519241921"/>
        <bgColor rgb="FFCFE2F3"/>
      </patternFill>
    </fill>
    <fill>
      <patternFill patternType="solid">
        <fgColor theme="4" tint="0.59999389629810485"/>
        <bgColor rgb="FFCFE2F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CFE2F3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2" fillId="0" borderId="0" xfId="0" applyFont="1" applyAlignment="1" applyProtection="1"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right" vertical="center"/>
      <protection hidden="1"/>
    </xf>
    <xf numFmtId="0" fontId="8" fillId="6" borderId="1" xfId="0" applyFont="1" applyFill="1" applyBorder="1" applyAlignment="1" applyProtection="1">
      <alignment horizontal="center" vertical="center"/>
      <protection hidden="1"/>
    </xf>
    <xf numFmtId="3" fontId="7" fillId="6" borderId="1" xfId="0" applyNumberFormat="1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7" borderId="7" xfId="0" applyFont="1" applyFill="1" applyBorder="1" applyAlignment="1" applyProtection="1">
      <alignment horizontal="center" vertical="center" wrapText="1"/>
      <protection hidden="1"/>
    </xf>
    <xf numFmtId="0" fontId="12" fillId="7" borderId="7" xfId="0" applyFont="1" applyFill="1" applyBorder="1" applyAlignment="1" applyProtection="1">
      <alignment horizontal="center" vertical="center"/>
      <protection hidden="1"/>
    </xf>
    <xf numFmtId="0" fontId="12" fillId="7" borderId="8" xfId="0" applyFont="1" applyFill="1" applyBorder="1" applyAlignment="1" applyProtection="1">
      <alignment horizontal="center" vertical="center"/>
      <protection hidden="1"/>
    </xf>
    <xf numFmtId="0" fontId="12" fillId="9" borderId="7" xfId="0" applyFont="1" applyFill="1" applyBorder="1" applyAlignment="1" applyProtection="1">
      <alignment horizontal="center" vertical="center"/>
      <protection hidden="1"/>
    </xf>
    <xf numFmtId="0" fontId="0" fillId="9" borderId="7" xfId="0" applyFont="1" applyFill="1" applyBorder="1" applyAlignment="1" applyProtection="1">
      <alignment horizontal="center" vertical="center" wrapText="1"/>
      <protection hidden="1"/>
    </xf>
    <xf numFmtId="0" fontId="14" fillId="13" borderId="7" xfId="0" applyFont="1" applyFill="1" applyBorder="1" applyAlignment="1" applyProtection="1">
      <alignment horizontal="center" vertical="center"/>
      <protection hidden="1"/>
    </xf>
    <xf numFmtId="0" fontId="13" fillId="9" borderId="1" xfId="0" applyFont="1" applyFill="1" applyBorder="1" applyAlignment="1" applyProtection="1">
      <alignment horizontal="left" vertical="center" wrapText="1"/>
      <protection locked="0"/>
    </xf>
    <xf numFmtId="0" fontId="9" fillId="9" borderId="2" xfId="0" applyFont="1" applyFill="1" applyBorder="1" applyAlignment="1" applyProtection="1">
      <alignment horizontal="center" vertical="center"/>
      <protection locked="0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left" vertical="center" wrapText="1"/>
      <protection locked="0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0" fontId="2" fillId="9" borderId="7" xfId="0" applyFont="1" applyFill="1" applyBorder="1" applyAlignment="1">
      <alignment vertical="center" wrapText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2" fillId="9" borderId="7" xfId="0" applyFont="1" applyFill="1" applyBorder="1" applyAlignment="1" applyProtection="1">
      <alignment vertical="center" wrapText="1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15" fillId="9" borderId="7" xfId="0" applyFont="1" applyFill="1" applyBorder="1" applyAlignment="1"/>
    <xf numFmtId="0" fontId="4" fillId="9" borderId="4" xfId="0" applyFont="1" applyFill="1" applyBorder="1" applyAlignment="1" applyProtection="1">
      <alignment horizontal="right"/>
      <protection locked="0" hidden="1"/>
    </xf>
    <xf numFmtId="0" fontId="4" fillId="9" borderId="3" xfId="0" applyFont="1" applyFill="1" applyBorder="1" applyAlignment="1" applyProtection="1">
      <alignment horizontal="right"/>
      <protection locked="0" hidden="1"/>
    </xf>
    <xf numFmtId="0" fontId="2" fillId="9" borderId="7" xfId="0" applyFont="1" applyFill="1" applyBorder="1" applyAlignment="1" applyProtection="1">
      <protection hidden="1"/>
    </xf>
    <xf numFmtId="0" fontId="2" fillId="9" borderId="7" xfId="0" applyFont="1" applyFill="1" applyBorder="1" applyAlignment="1" applyProtection="1">
      <alignment horizontal="left" wrapText="1"/>
      <protection hidden="1"/>
    </xf>
    <xf numFmtId="0" fontId="3" fillId="14" borderId="7" xfId="0" applyFont="1" applyFill="1" applyBorder="1" applyAlignment="1" applyProtection="1">
      <protection hidden="1"/>
    </xf>
    <xf numFmtId="0" fontId="3" fillId="6" borderId="3" xfId="0" applyFont="1" applyFill="1" applyBorder="1" applyAlignment="1" applyProtection="1">
      <alignment horizontal="right"/>
      <protection hidden="1"/>
    </xf>
    <xf numFmtId="0" fontId="3" fillId="6" borderId="6" xfId="0" applyFont="1" applyFill="1" applyBorder="1" applyAlignment="1" applyProtection="1">
      <protection hidden="1"/>
    </xf>
    <xf numFmtId="0" fontId="3" fillId="6" borderId="1" xfId="0" applyFont="1" applyFill="1" applyBorder="1" applyAlignment="1" applyProtection="1">
      <alignment horizontal="right"/>
      <protection hidden="1"/>
    </xf>
    <xf numFmtId="0" fontId="15" fillId="0" borderId="0" xfId="0" applyFont="1" applyAlignment="1"/>
    <xf numFmtId="0" fontId="2" fillId="9" borderId="2" xfId="0" applyFont="1" applyFill="1" applyBorder="1" applyAlignment="1" applyProtection="1">
      <alignment vertical="center"/>
      <protection hidden="1"/>
    </xf>
    <xf numFmtId="0" fontId="9" fillId="9" borderId="3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0" fillId="7" borderId="7" xfId="0" applyFont="1" applyFill="1" applyBorder="1" applyAlignment="1" applyProtection="1">
      <alignment horizontal="center" vertical="center" wrapText="1"/>
      <protection hidden="1"/>
    </xf>
    <xf numFmtId="0" fontId="10" fillId="7" borderId="8" xfId="0" applyFont="1" applyFill="1" applyBorder="1" applyAlignment="1" applyProtection="1">
      <alignment horizontal="center" vertical="center" wrapText="1"/>
      <protection hidden="1"/>
    </xf>
    <xf numFmtId="0" fontId="10" fillId="9" borderId="7" xfId="0" applyFont="1" applyFill="1" applyBorder="1" applyAlignment="1" applyProtection="1">
      <alignment horizontal="center" vertical="center" wrapText="1"/>
      <protection hidden="1"/>
    </xf>
    <xf numFmtId="0" fontId="2" fillId="9" borderId="7" xfId="0" applyFont="1" applyFill="1" applyBorder="1" applyAlignment="1">
      <alignment vertical="center" wrapText="1"/>
    </xf>
    <xf numFmtId="0" fontId="10" fillId="7" borderId="7" xfId="0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7" xfId="0" applyFill="1" applyBorder="1" applyAlignment="1">
      <alignment vertical="center"/>
    </xf>
    <xf numFmtId="0" fontId="15" fillId="10" borderId="7" xfId="0" applyFont="1" applyFill="1" applyBorder="1" applyAlignment="1">
      <alignment vertical="center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6" fillId="5" borderId="7" xfId="0" applyFont="1" applyFill="1" applyBorder="1" applyAlignment="1" applyProtection="1">
      <alignment horizontal="center" vertical="center"/>
      <protection hidden="1"/>
    </xf>
    <xf numFmtId="0" fontId="15" fillId="9" borderId="7" xfId="0" applyFont="1" applyFill="1" applyBorder="1" applyProtection="1">
      <protection hidden="1"/>
    </xf>
    <xf numFmtId="0" fontId="0" fillId="9" borderId="7" xfId="0" applyFill="1" applyBorder="1" applyProtection="1">
      <protection hidden="1"/>
    </xf>
    <xf numFmtId="0" fontId="10" fillId="7" borderId="7" xfId="0" applyFont="1" applyFill="1" applyBorder="1" applyAlignment="1" applyProtection="1">
      <alignment horizontal="right" vertical="center"/>
      <protection hidden="1"/>
    </xf>
    <xf numFmtId="0" fontId="10" fillId="7" borderId="7" xfId="0" applyFont="1" applyFill="1" applyBorder="1" applyAlignment="1" applyProtection="1">
      <alignment vertical="center"/>
      <protection hidden="1"/>
    </xf>
    <xf numFmtId="0" fontId="10" fillId="7" borderId="16" xfId="0" applyFont="1" applyFill="1" applyBorder="1" applyAlignment="1" applyProtection="1">
      <alignment horizontal="center" vertical="center"/>
      <protection hidden="1"/>
    </xf>
    <xf numFmtId="0" fontId="15" fillId="9" borderId="7" xfId="0" applyFont="1" applyFill="1" applyBorder="1" applyAlignment="1">
      <alignment vertical="center" wrapText="1"/>
    </xf>
    <xf numFmtId="0" fontId="0" fillId="9" borderId="8" xfId="0" applyFont="1" applyFill="1" applyBorder="1" applyAlignment="1" applyProtection="1">
      <alignment horizontal="center" vertical="center" wrapText="1"/>
      <protection hidden="1"/>
    </xf>
    <xf numFmtId="0" fontId="10" fillId="7" borderId="16" xfId="0" applyFont="1" applyFill="1" applyBorder="1" applyAlignment="1" applyProtection="1">
      <alignment horizontal="center" vertical="center" wrapText="1"/>
      <protection hidden="1"/>
    </xf>
    <xf numFmtId="0" fontId="4" fillId="9" borderId="6" xfId="0" applyFont="1" applyFill="1" applyBorder="1" applyAlignment="1" applyProtection="1">
      <alignment horizontal="left" vertical="center" wrapText="1"/>
      <protection locked="0"/>
    </xf>
    <xf numFmtId="0" fontId="17" fillId="9" borderId="1" xfId="0" applyFont="1" applyFill="1" applyBorder="1" applyAlignment="1" applyProtection="1">
      <alignment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8" fillId="9" borderId="1" xfId="0" applyFont="1" applyFill="1" applyBorder="1" applyAlignment="1" applyProtection="1">
      <alignment vertical="center"/>
      <protection locked="0"/>
    </xf>
    <xf numFmtId="0" fontId="18" fillId="9" borderId="1" xfId="0" applyFont="1" applyFill="1" applyBorder="1" applyAlignment="1" applyProtection="1">
      <alignment horizontal="right" vertical="center"/>
      <protection locked="0"/>
    </xf>
    <xf numFmtId="0" fontId="2" fillId="9" borderId="7" xfId="0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16" fillId="5" borderId="7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protection hidden="1"/>
    </xf>
    <xf numFmtId="0" fontId="15" fillId="9" borderId="7" xfId="0" applyFont="1" applyFill="1" applyBorder="1" applyAlignment="1" applyProtection="1">
      <protection hidden="1"/>
    </xf>
    <xf numFmtId="0" fontId="4" fillId="10" borderId="7" xfId="0" applyFont="1" applyFill="1" applyBorder="1" applyAlignment="1" applyProtection="1">
      <alignment horizontal="center" vertical="center" wrapText="1"/>
      <protection locked="0"/>
    </xf>
    <xf numFmtId="0" fontId="4" fillId="10" borderId="7" xfId="0" applyFont="1" applyFill="1" applyBorder="1" applyAlignment="1" applyProtection="1">
      <alignment horizontal="right" vertical="center" wrapText="1"/>
      <protection locked="0"/>
    </xf>
    <xf numFmtId="0" fontId="4" fillId="9" borderId="4" xfId="0" applyFont="1" applyFill="1" applyBorder="1" applyAlignment="1" applyProtection="1">
      <alignment horizontal="right"/>
      <protection locked="0"/>
    </xf>
    <xf numFmtId="0" fontId="4" fillId="9" borderId="4" xfId="0" applyFont="1" applyFill="1" applyBorder="1" applyAlignment="1" applyProtection="1">
      <protection locked="0"/>
    </xf>
    <xf numFmtId="0" fontId="4" fillId="9" borderId="3" xfId="0" applyFont="1" applyFill="1" applyBorder="1" applyAlignment="1" applyProtection="1">
      <alignment horizontal="right"/>
      <protection locked="0"/>
    </xf>
    <xf numFmtId="0" fontId="2" fillId="9" borderId="7" xfId="0" applyFont="1" applyFill="1" applyBorder="1" applyAlignment="1" applyProtection="1">
      <alignment vertical="center"/>
      <protection hidden="1"/>
    </xf>
    <xf numFmtId="0" fontId="2" fillId="9" borderId="7" xfId="0" applyFont="1" applyFill="1" applyBorder="1" applyAlignment="1" applyProtection="1">
      <alignment vertical="center" wrapText="1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7" fillId="5" borderId="2" xfId="0" applyFont="1" applyFill="1" applyBorder="1" applyAlignment="1" applyProtection="1">
      <alignment horizontal="center" vertical="center"/>
      <protection hidden="1"/>
    </xf>
    <xf numFmtId="0" fontId="2" fillId="7" borderId="3" xfId="0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2" fillId="9" borderId="7" xfId="0" applyFont="1" applyFill="1" applyBorder="1" applyAlignment="1" applyProtection="1">
      <alignment horizontal="center" vertical="center"/>
      <protection hidden="1"/>
    </xf>
    <xf numFmtId="0" fontId="4" fillId="11" borderId="7" xfId="0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2" fillId="7" borderId="3" xfId="0" applyFont="1" applyFill="1" applyBorder="1" applyProtection="1"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6" fillId="5" borderId="7" xfId="0" applyFont="1" applyFill="1" applyBorder="1" applyAlignment="1" applyProtection="1">
      <alignment horizontal="center" vertical="center"/>
      <protection hidden="1"/>
    </xf>
    <xf numFmtId="0" fontId="2" fillId="9" borderId="13" xfId="0" applyFont="1" applyFill="1" applyBorder="1" applyAlignment="1" applyProtection="1">
      <alignment horizontal="center" vertical="center"/>
      <protection hidden="1"/>
    </xf>
    <xf numFmtId="0" fontId="2" fillId="9" borderId="12" xfId="0" applyFont="1" applyFill="1" applyBorder="1" applyAlignment="1" applyProtection="1">
      <alignment horizontal="center" vertical="center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2" fillId="9" borderId="15" xfId="0" applyFont="1" applyFill="1" applyBorder="1" applyAlignment="1" applyProtection="1">
      <alignment horizontal="center" vertical="center"/>
      <protection hidden="1"/>
    </xf>
    <xf numFmtId="0" fontId="9" fillId="12" borderId="4" xfId="0" applyFont="1" applyFill="1" applyBorder="1" applyAlignment="1" applyProtection="1">
      <alignment horizontal="center" vertical="center"/>
      <protection hidden="1"/>
    </xf>
    <xf numFmtId="0" fontId="9" fillId="12" borderId="3" xfId="0" applyFont="1" applyFill="1" applyBorder="1" applyAlignment="1" applyProtection="1">
      <alignment horizontal="center" vertical="center"/>
      <protection hidden="1"/>
    </xf>
    <xf numFmtId="0" fontId="2" fillId="9" borderId="13" xfId="0" applyFont="1" applyFill="1" applyBorder="1" applyAlignment="1" applyProtection="1">
      <alignment horizontal="right" vertical="center"/>
      <protection hidden="1"/>
    </xf>
    <xf numFmtId="0" fontId="2" fillId="9" borderId="12" xfId="0" applyFont="1" applyFill="1" applyBorder="1" applyAlignment="1" applyProtection="1">
      <alignment horizontal="right" vertical="center"/>
      <protection hidden="1"/>
    </xf>
    <xf numFmtId="0" fontId="2" fillId="9" borderId="7" xfId="0" applyFont="1" applyFill="1" applyBorder="1" applyAlignment="1">
      <alignment vertical="center" wrapText="1"/>
    </xf>
    <xf numFmtId="0" fontId="10" fillId="9" borderId="8" xfId="0" applyFont="1" applyFill="1" applyBorder="1" applyAlignment="1" applyProtection="1">
      <alignment horizontal="center" vertical="center"/>
      <protection hidden="1"/>
    </xf>
    <xf numFmtId="0" fontId="12" fillId="9" borderId="9" xfId="0" applyFont="1" applyFill="1" applyBorder="1" applyAlignment="1" applyProtection="1">
      <alignment horizontal="center" vertical="center"/>
      <protection hidden="1"/>
    </xf>
    <xf numFmtId="0" fontId="10" fillId="8" borderId="8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55;&#1083;&#1072;&#1085; &#1088;&#1072;&#1093;&#1091;&#1085;&#1082;&#1110;&#1074;'!A1"/><Relationship Id="rId1" Type="http://schemas.openxmlformats.org/officeDocument/2006/relationships/hyperlink" Target="#'3.2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055;&#1083;&#1072;&#1085; &#1088;&#1072;&#1093;&#1091;&#1085;&#1082;&#1110;&#1074;'!A1"/><Relationship Id="rId1" Type="http://schemas.openxmlformats.org/officeDocument/2006/relationships/hyperlink" Target="#'3.3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1055;&#1083;&#1072;&#1085; &#1088;&#1072;&#1093;&#1091;&#1085;&#1082;&#1110;&#1074;'!A1"/><Relationship Id="rId1" Type="http://schemas.openxmlformats.org/officeDocument/2006/relationships/hyperlink" Target="#'3.4-3.6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1055;&#1083;&#1072;&#1085; &#1088;&#1072;&#1093;&#1091;&#1085;&#1082;&#1110;&#1074;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3.3'!A1"/><Relationship Id="rId2" Type="http://schemas.openxmlformats.org/officeDocument/2006/relationships/hyperlink" Target="#'3.2'!A1"/><Relationship Id="rId1" Type="http://schemas.openxmlformats.org/officeDocument/2006/relationships/hyperlink" Target="#'3.1'!A1"/><Relationship Id="rId4" Type="http://schemas.openxmlformats.org/officeDocument/2006/relationships/hyperlink" Target="#'3.4-3.6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790575</xdr:colOff>
      <xdr:row>37</xdr:row>
      <xdr:rowOff>0</xdr:rowOff>
    </xdr:from>
    <xdr:to>
      <xdr:col>13</xdr:col>
      <xdr:colOff>857250</xdr:colOff>
      <xdr:row>40</xdr:row>
      <xdr:rowOff>47625</xdr:rowOff>
    </xdr:to>
    <xdr:sp macro="" textlink="">
      <xdr:nvSpPr>
        <xdr:cNvPr id="2" name="Стрелка вправо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91750" y="8229600"/>
          <a:ext cx="1914525" cy="64770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uk-UA" sz="1400">
              <a:solidFill>
                <a:schemeClr val="tx1"/>
              </a:solidFill>
            </a:rPr>
            <a:t>Наступне</a:t>
          </a:r>
          <a:r>
            <a:rPr lang="uk-UA" sz="1400" baseline="0">
              <a:solidFill>
                <a:schemeClr val="tx1"/>
              </a:solidFill>
            </a:rPr>
            <a:t> завдання</a:t>
          </a:r>
          <a:endParaRPr lang="uk-UA" sz="14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1762124</xdr:colOff>
      <xdr:row>25</xdr:row>
      <xdr:rowOff>76201</xdr:rowOff>
    </xdr:from>
    <xdr:to>
      <xdr:col>4</xdr:col>
      <xdr:colOff>561975</xdr:colOff>
      <xdr:row>27</xdr:row>
      <xdr:rowOff>76200</xdr:rowOff>
    </xdr:to>
    <xdr:sp macro="" textlink="">
      <xdr:nvSpPr>
        <xdr:cNvPr id="3" name="Скругленный прямоугольник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14549" y="6372226"/>
          <a:ext cx="2276476" cy="323849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>
              <a:solidFill>
                <a:sysClr val="windowText" lastClr="000000"/>
              </a:solidFill>
            </a:rPr>
            <a:t>Основний план рахунків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771525</xdr:colOff>
      <xdr:row>36</xdr:row>
      <xdr:rowOff>171450</xdr:rowOff>
    </xdr:from>
    <xdr:to>
      <xdr:col>13</xdr:col>
      <xdr:colOff>857250</xdr:colOff>
      <xdr:row>40</xdr:row>
      <xdr:rowOff>19050</xdr:rowOff>
    </xdr:to>
    <xdr:sp macro="" textlink="">
      <xdr:nvSpPr>
        <xdr:cNvPr id="2" name="Стрелка вправо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201275" y="9229725"/>
          <a:ext cx="1933575" cy="64770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uk-UA" sz="1400">
              <a:solidFill>
                <a:schemeClr val="tx1"/>
              </a:solidFill>
            </a:rPr>
            <a:t>Наступне завдання</a:t>
          </a:r>
        </a:p>
      </xdr:txBody>
    </xdr:sp>
    <xdr:clientData/>
  </xdr:twoCellAnchor>
  <xdr:twoCellAnchor>
    <xdr:from>
      <xdr:col>2</xdr:col>
      <xdr:colOff>1943100</xdr:colOff>
      <xdr:row>26</xdr:row>
      <xdr:rowOff>152400</xdr:rowOff>
    </xdr:from>
    <xdr:to>
      <xdr:col>5</xdr:col>
      <xdr:colOff>1</xdr:colOff>
      <xdr:row>29</xdr:row>
      <xdr:rowOff>66675</xdr:rowOff>
    </xdr:to>
    <xdr:sp macro="" textlink="">
      <xdr:nvSpPr>
        <xdr:cNvPr id="3" name="Скругленный прямоугольник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266950" y="7600950"/>
          <a:ext cx="2276476" cy="4000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>
              <a:solidFill>
                <a:sysClr val="windowText" lastClr="000000"/>
              </a:solidFill>
            </a:rPr>
            <a:t>Основний</a:t>
          </a:r>
          <a:r>
            <a:rPr lang="ru-RU" sz="1400" baseline="0">
              <a:solidFill>
                <a:sysClr val="windowText" lastClr="000000"/>
              </a:solidFill>
            </a:rPr>
            <a:t> п</a:t>
          </a:r>
          <a:r>
            <a:rPr lang="ru-RU" sz="1400">
              <a:solidFill>
                <a:sysClr val="windowText" lastClr="000000"/>
              </a:solidFill>
            </a:rPr>
            <a:t>лан рахунків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771525</xdr:colOff>
      <xdr:row>36</xdr:row>
      <xdr:rowOff>171450</xdr:rowOff>
    </xdr:from>
    <xdr:to>
      <xdr:col>13</xdr:col>
      <xdr:colOff>857250</xdr:colOff>
      <xdr:row>40</xdr:row>
      <xdr:rowOff>19050</xdr:rowOff>
    </xdr:to>
    <xdr:sp macro="" textlink="">
      <xdr:nvSpPr>
        <xdr:cNvPr id="2" name="Стрелка вправо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201275" y="9229725"/>
          <a:ext cx="1933575" cy="64770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uk-UA" sz="1400">
              <a:solidFill>
                <a:schemeClr val="tx1"/>
              </a:solidFill>
            </a:rPr>
            <a:t>Наступне</a:t>
          </a:r>
          <a:r>
            <a:rPr lang="uk-UA" sz="1400" baseline="0">
              <a:solidFill>
                <a:schemeClr val="tx1"/>
              </a:solidFill>
            </a:rPr>
            <a:t> завдання</a:t>
          </a:r>
          <a:endParaRPr lang="uk-UA" sz="14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1809750</xdr:colOff>
      <xdr:row>26</xdr:row>
      <xdr:rowOff>133350</xdr:rowOff>
    </xdr:from>
    <xdr:to>
      <xdr:col>5</xdr:col>
      <xdr:colOff>1</xdr:colOff>
      <xdr:row>29</xdr:row>
      <xdr:rowOff>47625</xdr:rowOff>
    </xdr:to>
    <xdr:sp macro="" textlink="">
      <xdr:nvSpPr>
        <xdr:cNvPr id="3" name="Скругленный прямоугольник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124075" y="8153400"/>
          <a:ext cx="2276476" cy="4000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>
              <a:solidFill>
                <a:sysClr val="windowText" lastClr="000000"/>
              </a:solidFill>
            </a:rPr>
            <a:t>Основний </a:t>
          </a:r>
          <a:r>
            <a:rPr lang="ru-RU" sz="1400" baseline="0">
              <a:solidFill>
                <a:sysClr val="windowText" lastClr="000000"/>
              </a:solidFill>
            </a:rPr>
            <a:t>п</a:t>
          </a:r>
          <a:r>
            <a:rPr lang="ru-RU" sz="1400">
              <a:solidFill>
                <a:sysClr val="windowText" lastClr="000000"/>
              </a:solidFill>
            </a:rPr>
            <a:t>лан рахунків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25</xdr:row>
      <xdr:rowOff>9525</xdr:rowOff>
    </xdr:from>
    <xdr:to>
      <xdr:col>3</xdr:col>
      <xdr:colOff>1962151</xdr:colOff>
      <xdr:row>26</xdr:row>
      <xdr:rowOff>142875</xdr:rowOff>
    </xdr:to>
    <xdr:sp macro="" textlink="">
      <xdr:nvSpPr>
        <xdr:cNvPr id="2" name="Скругленный прямоугольни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28700" y="4619625"/>
          <a:ext cx="2276476" cy="4000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>
              <a:solidFill>
                <a:sysClr val="windowText" lastClr="000000"/>
              </a:solidFill>
            </a:rPr>
            <a:t>Основний</a:t>
          </a:r>
          <a:r>
            <a:rPr lang="ru-RU" sz="1400" baseline="0">
              <a:solidFill>
                <a:sysClr val="windowText" lastClr="000000"/>
              </a:solidFill>
            </a:rPr>
            <a:t> п</a:t>
          </a:r>
          <a:r>
            <a:rPr lang="ru-RU" sz="1400">
              <a:solidFill>
                <a:sysClr val="windowText" lastClr="000000"/>
              </a:solidFill>
            </a:rPr>
            <a:t>лан рахунків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6</xdr:row>
      <xdr:rowOff>152400</xdr:rowOff>
    </xdr:from>
    <xdr:to>
      <xdr:col>9</xdr:col>
      <xdr:colOff>9526</xdr:colOff>
      <xdr:row>8</xdr:row>
      <xdr:rowOff>133350</xdr:rowOff>
    </xdr:to>
    <xdr:sp macro="" textlink="">
      <xdr:nvSpPr>
        <xdr:cNvPr id="2" name="Скругленный прямоугольни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124575" y="1352550"/>
          <a:ext cx="2276476" cy="4000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>
              <a:solidFill>
                <a:sysClr val="windowText" lastClr="000000"/>
              </a:solidFill>
            </a:rPr>
            <a:t>Завдання 3.1</a:t>
          </a:r>
        </a:p>
      </xdr:txBody>
    </xdr:sp>
    <xdr:clientData/>
  </xdr:twoCellAnchor>
  <xdr:twoCellAnchor>
    <xdr:from>
      <xdr:col>5</xdr:col>
      <xdr:colOff>180975</xdr:colOff>
      <xdr:row>8</xdr:row>
      <xdr:rowOff>161925</xdr:rowOff>
    </xdr:from>
    <xdr:to>
      <xdr:col>9</xdr:col>
      <xdr:colOff>19051</xdr:colOff>
      <xdr:row>10</xdr:row>
      <xdr:rowOff>142875</xdr:rowOff>
    </xdr:to>
    <xdr:sp macro="" textlink="">
      <xdr:nvSpPr>
        <xdr:cNvPr id="3" name="Скругленный прямоугольник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134100" y="1781175"/>
          <a:ext cx="2276476" cy="4000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>
              <a:solidFill>
                <a:sysClr val="windowText" lastClr="000000"/>
              </a:solidFill>
            </a:rPr>
            <a:t>Завданя 3.2</a:t>
          </a:r>
        </a:p>
      </xdr:txBody>
    </xdr:sp>
    <xdr:clientData/>
  </xdr:twoCellAnchor>
  <xdr:twoCellAnchor>
    <xdr:from>
      <xdr:col>5</xdr:col>
      <xdr:colOff>180975</xdr:colOff>
      <xdr:row>10</xdr:row>
      <xdr:rowOff>171450</xdr:rowOff>
    </xdr:from>
    <xdr:to>
      <xdr:col>9</xdr:col>
      <xdr:colOff>19051</xdr:colOff>
      <xdr:row>12</xdr:row>
      <xdr:rowOff>152400</xdr:rowOff>
    </xdr:to>
    <xdr:sp macro="" textlink="">
      <xdr:nvSpPr>
        <xdr:cNvPr id="4" name="Скругленный прямоугольник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134100" y="2209800"/>
          <a:ext cx="2276476" cy="4000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>
              <a:solidFill>
                <a:sysClr val="windowText" lastClr="000000"/>
              </a:solidFill>
            </a:rPr>
            <a:t>Завдання 3.3</a:t>
          </a:r>
        </a:p>
      </xdr:txBody>
    </xdr:sp>
    <xdr:clientData/>
  </xdr:twoCellAnchor>
  <xdr:twoCellAnchor>
    <xdr:from>
      <xdr:col>5</xdr:col>
      <xdr:colOff>180975</xdr:colOff>
      <xdr:row>12</xdr:row>
      <xdr:rowOff>180975</xdr:rowOff>
    </xdr:from>
    <xdr:to>
      <xdr:col>9</xdr:col>
      <xdr:colOff>19051</xdr:colOff>
      <xdr:row>14</xdr:row>
      <xdr:rowOff>161925</xdr:rowOff>
    </xdr:to>
    <xdr:sp macro="" textlink="">
      <xdr:nvSpPr>
        <xdr:cNvPr id="5" name="Скругленный прямоугольник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34100" y="2638425"/>
          <a:ext cx="2276476" cy="4000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>
              <a:solidFill>
                <a:sysClr val="windowText" lastClr="000000"/>
              </a:solidFill>
            </a:rPr>
            <a:t>Завдання 3.4-3.6</a:t>
          </a:r>
        </a:p>
      </xdr:txBody>
    </xdr:sp>
    <xdr:clientData/>
  </xdr:twoCellAnchor>
  <xdr:twoCellAnchor>
    <xdr:from>
      <xdr:col>5</xdr:col>
      <xdr:colOff>228599</xdr:colOff>
      <xdr:row>3</xdr:row>
      <xdr:rowOff>123825</xdr:rowOff>
    </xdr:from>
    <xdr:to>
      <xdr:col>9</xdr:col>
      <xdr:colOff>66674</xdr:colOff>
      <xdr:row>6</xdr:row>
      <xdr:rowOff>95250</xdr:rowOff>
    </xdr:to>
    <xdr:sp macro="" textlink="">
      <xdr:nvSpPr>
        <xdr:cNvPr id="6" name="Выноска со стрелкой вниз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181724" y="695325"/>
          <a:ext cx="2276475" cy="600075"/>
        </a:xfrm>
        <a:prstGeom prst="downArrowCallou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0">
              <a:solidFill>
                <a:sysClr val="windowText" lastClr="000000"/>
              </a:solidFill>
            </a:rPr>
            <a:t>Повернутися до завданнь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showGridLines="0" showRowColHeaders="0" tabSelected="1" zoomScaleNormal="100" workbookViewId="0"/>
  </sheetViews>
  <sheetFormatPr defaultColWidth="14.42578125" defaultRowHeight="15.75" customHeight="1" x14ac:dyDescent="0.2"/>
  <cols>
    <col min="1" max="1" width="1.42578125" style="81" customWidth="1"/>
    <col min="2" max="2" width="2.85546875" style="81" customWidth="1"/>
    <col min="3" max="3" width="43.7109375" style="81" customWidth="1"/>
    <col min="4" max="4" width="8.7109375" style="81" customWidth="1"/>
    <col min="5" max="5" width="8.85546875" style="81" customWidth="1"/>
    <col min="6" max="6" width="9.140625" style="81" customWidth="1"/>
    <col min="7" max="7" width="9.85546875" style="81" customWidth="1"/>
    <col min="8" max="9" width="8" style="81" customWidth="1"/>
    <col min="10" max="10" width="2.5703125" style="81" customWidth="1"/>
    <col min="11" max="11" width="27" style="81" customWidth="1"/>
    <col min="12" max="12" width="11.85546875" style="81" customWidth="1"/>
    <col min="13" max="13" width="27.7109375" style="81" customWidth="1"/>
    <col min="14" max="14" width="13.140625" style="81" customWidth="1"/>
    <col min="15" max="16384" width="14.42578125" style="81"/>
  </cols>
  <sheetData>
    <row r="1" spans="1:14" ht="22.5" customHeight="1" x14ac:dyDescent="0.25">
      <c r="A1" s="1"/>
      <c r="B1" s="2" t="s">
        <v>33</v>
      </c>
      <c r="C1" s="1"/>
      <c r="D1" s="83" t="s">
        <v>83</v>
      </c>
      <c r="F1" s="1"/>
    </row>
    <row r="2" spans="1:14" ht="12.75" customHeight="1" x14ac:dyDescent="0.2">
      <c r="A2" s="1"/>
      <c r="B2" s="1"/>
      <c r="C2" s="1"/>
      <c r="D2" s="83" t="s">
        <v>84</v>
      </c>
      <c r="E2" s="1"/>
      <c r="F2" s="1"/>
      <c r="G2" s="3"/>
      <c r="H2" s="3"/>
      <c r="I2" s="3"/>
      <c r="K2" s="80"/>
      <c r="L2" s="80"/>
      <c r="M2" s="80"/>
      <c r="N2" s="80"/>
    </row>
    <row r="3" spans="1:14" ht="8.25" customHeight="1" x14ac:dyDescent="0.2">
      <c r="A3" s="1"/>
      <c r="B3" s="1"/>
      <c r="C3" s="1"/>
      <c r="D3" s="1"/>
      <c r="E3" s="1"/>
      <c r="F3" s="1"/>
      <c r="G3" s="3"/>
      <c r="H3" s="3"/>
      <c r="I3" s="3"/>
      <c r="K3" s="80"/>
      <c r="L3" s="80"/>
      <c r="M3" s="80"/>
      <c r="N3" s="80"/>
    </row>
    <row r="4" spans="1:14" ht="18.75" customHeight="1" x14ac:dyDescent="0.2">
      <c r="A4" s="1"/>
      <c r="B4" s="4" t="s">
        <v>85</v>
      </c>
      <c r="C4" s="4"/>
      <c r="D4" s="5"/>
      <c r="E4" s="5"/>
      <c r="F4" s="5"/>
      <c r="G4" s="92" t="s">
        <v>55</v>
      </c>
      <c r="H4" s="93"/>
      <c r="I4" s="94"/>
      <c r="K4" s="97" t="s">
        <v>56</v>
      </c>
      <c r="L4" s="98"/>
      <c r="M4" s="98"/>
      <c r="N4" s="98"/>
    </row>
    <row r="5" spans="1:14" ht="18" customHeight="1" x14ac:dyDescent="0.2">
      <c r="A5" s="1"/>
      <c r="B5" s="29" t="s">
        <v>0</v>
      </c>
      <c r="C5" s="29" t="s">
        <v>53</v>
      </c>
      <c r="D5" s="29" t="s">
        <v>2</v>
      </c>
      <c r="E5" s="29" t="s">
        <v>3</v>
      </c>
      <c r="F5" s="29" t="s">
        <v>54</v>
      </c>
      <c r="G5" s="30" t="s">
        <v>2</v>
      </c>
      <c r="H5" s="30" t="s">
        <v>3</v>
      </c>
      <c r="I5" s="30" t="s">
        <v>54</v>
      </c>
      <c r="K5" s="95" t="s">
        <v>2</v>
      </c>
      <c r="L5" s="96"/>
      <c r="M5" s="95" t="s">
        <v>3</v>
      </c>
      <c r="N5" s="96"/>
    </row>
    <row r="6" spans="1:14" ht="25.5" x14ac:dyDescent="0.2">
      <c r="A6" s="8"/>
      <c r="B6" s="79">
        <v>1</v>
      </c>
      <c r="C6" s="33" t="s">
        <v>34</v>
      </c>
      <c r="D6" s="85"/>
      <c r="E6" s="85"/>
      <c r="F6" s="86"/>
      <c r="G6" s="32" t="str">
        <f>IF(D6=46,"Так","Ні")</f>
        <v>Ні</v>
      </c>
      <c r="H6" s="32" t="str">
        <f>IF(E6=40,"Так","Ні")</f>
        <v>Ні</v>
      </c>
      <c r="I6" s="32" t="str">
        <f>IF(F6=10000,"Так","Ні")</f>
        <v>Ні</v>
      </c>
      <c r="J6" s="10"/>
      <c r="K6" s="34" t="s">
        <v>57</v>
      </c>
      <c r="L6" s="34" t="s">
        <v>54</v>
      </c>
      <c r="M6" s="34" t="s">
        <v>57</v>
      </c>
      <c r="N6" s="34" t="s">
        <v>54</v>
      </c>
    </row>
    <row r="7" spans="1:14" ht="25.5" x14ac:dyDescent="0.2">
      <c r="A7" s="8"/>
      <c r="B7" s="79">
        <v>2</v>
      </c>
      <c r="C7" s="33" t="s">
        <v>35</v>
      </c>
      <c r="D7" s="85"/>
      <c r="E7" s="85"/>
      <c r="F7" s="86"/>
      <c r="G7" s="32" t="str">
        <f>IF(D7=311,"Так","Ні")</f>
        <v>Ні</v>
      </c>
      <c r="H7" s="32" t="str">
        <f>IF(E7=46,"Так","Ні")</f>
        <v>Ні</v>
      </c>
      <c r="I7" s="32" t="str">
        <f>IF(F7=10000,"Так","Ні")</f>
        <v>Ні</v>
      </c>
      <c r="K7" s="35" t="s">
        <v>58</v>
      </c>
      <c r="L7" s="11">
        <v>0</v>
      </c>
      <c r="M7" s="35" t="s">
        <v>58</v>
      </c>
      <c r="N7" s="12" t="s">
        <v>4</v>
      </c>
    </row>
    <row r="8" spans="1:14" ht="25.5" x14ac:dyDescent="0.2">
      <c r="A8" s="8"/>
      <c r="B8" s="79">
        <v>3</v>
      </c>
      <c r="C8" s="33" t="s">
        <v>36</v>
      </c>
      <c r="D8" s="85"/>
      <c r="E8" s="85"/>
      <c r="F8" s="86"/>
      <c r="G8" s="32" t="str">
        <f>IF(D8=631,"Так","Ні")</f>
        <v>Ні</v>
      </c>
      <c r="H8" s="32" t="str">
        <f>IF(E8=311,"Так","Ні")</f>
        <v>Ні</v>
      </c>
      <c r="I8" s="32" t="str">
        <f>IF(F8=8000,"Так","Ні")</f>
        <v>Ні</v>
      </c>
      <c r="K8" s="75"/>
      <c r="L8" s="76"/>
      <c r="M8" s="75"/>
      <c r="N8" s="76"/>
    </row>
    <row r="9" spans="1:14" ht="25.5" x14ac:dyDescent="0.2">
      <c r="A9" s="8"/>
      <c r="B9" s="79">
        <v>4</v>
      </c>
      <c r="C9" s="33" t="s">
        <v>37</v>
      </c>
      <c r="D9" s="85"/>
      <c r="E9" s="85"/>
      <c r="F9" s="86"/>
      <c r="G9" s="32" t="str">
        <f>IF(D9=281,"Так","Ні")</f>
        <v>Ні</v>
      </c>
      <c r="H9" s="32" t="str">
        <f>IF(E9=631,"Так","Ні")</f>
        <v>Ні</v>
      </c>
      <c r="I9" s="32" t="str">
        <f>IF(F9=8000,"Так","Ні")</f>
        <v>Ні</v>
      </c>
      <c r="K9" s="75"/>
      <c r="L9" s="76"/>
      <c r="M9" s="75"/>
      <c r="N9" s="76"/>
    </row>
    <row r="10" spans="1:14" ht="25.5" x14ac:dyDescent="0.2">
      <c r="A10" s="8"/>
      <c r="B10" s="79">
        <v>5</v>
      </c>
      <c r="C10" s="33" t="s">
        <v>38</v>
      </c>
      <c r="D10" s="85"/>
      <c r="E10" s="85"/>
      <c r="F10" s="86"/>
      <c r="G10" s="32" t="str">
        <f>IF(D10=311,"Так","Ні")</f>
        <v>Ні</v>
      </c>
      <c r="H10" s="32" t="str">
        <f>IF(E10=361,"Так","Ні")</f>
        <v>Ні</v>
      </c>
      <c r="I10" s="32" t="str">
        <f>IF(F10=12000,"Так","Ні")</f>
        <v>Ні</v>
      </c>
      <c r="K10" s="77"/>
      <c r="L10" s="78"/>
      <c r="M10" s="75"/>
      <c r="N10" s="76"/>
    </row>
    <row r="11" spans="1:14" ht="20.25" customHeight="1" x14ac:dyDescent="0.2">
      <c r="A11" s="8"/>
      <c r="B11" s="90">
        <v>6</v>
      </c>
      <c r="C11" s="91" t="s">
        <v>39</v>
      </c>
      <c r="D11" s="85"/>
      <c r="E11" s="85"/>
      <c r="F11" s="86"/>
      <c r="G11" s="32" t="str">
        <f>IF(D11=361,"Так","Ні")</f>
        <v>Ні</v>
      </c>
      <c r="H11" s="32" t="str">
        <f>IF(E11=702,"Так","Ні")</f>
        <v>Ні</v>
      </c>
      <c r="I11" s="32" t="str">
        <f>IF(F11=12000,"Так","Ні")</f>
        <v>Ні</v>
      </c>
      <c r="K11" s="77"/>
      <c r="L11" s="78"/>
      <c r="M11" s="75"/>
      <c r="N11" s="76"/>
    </row>
    <row r="12" spans="1:14" ht="17.25" customHeight="1" x14ac:dyDescent="0.2">
      <c r="A12" s="8"/>
      <c r="B12" s="90"/>
      <c r="C12" s="91"/>
      <c r="D12" s="85"/>
      <c r="E12" s="85"/>
      <c r="F12" s="86"/>
      <c r="G12" s="32" t="str">
        <f>IF(D12=902,"Так","Ні")</f>
        <v>Ні</v>
      </c>
      <c r="H12" s="32" t="str">
        <f>IF(E12=281,"Так","Ні")</f>
        <v>Ні</v>
      </c>
      <c r="I12" s="32" t="str">
        <f>IF(F12=8000,"Так","Ні")</f>
        <v>Ні</v>
      </c>
      <c r="K12" s="11" t="s">
        <v>5</v>
      </c>
      <c r="L12" s="13">
        <f>SUM(L8:L11)</f>
        <v>0</v>
      </c>
      <c r="M12" s="11" t="s">
        <v>5</v>
      </c>
      <c r="N12" s="13">
        <f>SUM(N8:N11)</f>
        <v>0</v>
      </c>
    </row>
    <row r="13" spans="1:14" ht="25.5" x14ac:dyDescent="0.2">
      <c r="A13" s="8"/>
      <c r="B13" s="79">
        <v>7</v>
      </c>
      <c r="C13" s="33" t="s">
        <v>40</v>
      </c>
      <c r="D13" s="85"/>
      <c r="E13" s="85"/>
      <c r="F13" s="86"/>
      <c r="G13" s="32" t="str">
        <f>IF(D13=372,"Так","Ні")</f>
        <v>Ні</v>
      </c>
      <c r="H13" s="32" t="str">
        <f>IF(E13=311,"Так","Ні")</f>
        <v>Ні</v>
      </c>
      <c r="I13" s="32" t="str">
        <f>IF(F13=500,"Так","Ні")</f>
        <v>Ні</v>
      </c>
      <c r="K13" s="35" t="s">
        <v>59</v>
      </c>
      <c r="L13" s="13">
        <f>L7+L12-N12</f>
        <v>0</v>
      </c>
      <c r="M13" s="35" t="s">
        <v>60</v>
      </c>
      <c r="N13" s="12" t="s">
        <v>4</v>
      </c>
    </row>
    <row r="14" spans="1:14" ht="25.5" x14ac:dyDescent="0.2">
      <c r="A14" s="8"/>
      <c r="B14" s="79">
        <v>8</v>
      </c>
      <c r="C14" s="33" t="s">
        <v>41</v>
      </c>
      <c r="D14" s="85"/>
      <c r="E14" s="85"/>
      <c r="F14" s="86"/>
      <c r="G14" s="32" t="str">
        <f>IF(D14=92,"Так","Ні")</f>
        <v>Ні</v>
      </c>
      <c r="H14" s="32" t="str">
        <f>IF(E14=372,"Так","Ні")</f>
        <v>Ні</v>
      </c>
      <c r="I14" s="32" t="str">
        <f>IF(F14=500,"Так","Ні")</f>
        <v>Ні</v>
      </c>
      <c r="K14" s="36" t="s">
        <v>55</v>
      </c>
      <c r="L14" s="14" t="str">
        <f>IF(L13=11900,"Так","Ні")</f>
        <v>Ні</v>
      </c>
      <c r="M14" s="15" t="s">
        <v>61</v>
      </c>
      <c r="N14" s="16"/>
    </row>
    <row r="15" spans="1:14" ht="25.5" x14ac:dyDescent="0.2">
      <c r="A15" s="8"/>
      <c r="B15" s="79">
        <v>9</v>
      </c>
      <c r="C15" s="33" t="s">
        <v>42</v>
      </c>
      <c r="D15" s="85"/>
      <c r="E15" s="85"/>
      <c r="F15" s="86"/>
      <c r="G15" s="32" t="str">
        <f>IF(D15=93,"Так","Ні")</f>
        <v>Ні</v>
      </c>
      <c r="H15" s="32" t="str">
        <f>IF(E15=631,"Так","Ні")</f>
        <v>Ні</v>
      </c>
      <c r="I15" s="32" t="str">
        <f>IF(F15=1000,"Так","Ні")</f>
        <v>Ні</v>
      </c>
      <c r="K15" s="97" t="s">
        <v>62</v>
      </c>
      <c r="L15" s="98"/>
      <c r="M15" s="98"/>
      <c r="N15" s="98"/>
    </row>
    <row r="16" spans="1:14" ht="25.5" x14ac:dyDescent="0.2">
      <c r="A16" s="8"/>
      <c r="B16" s="79">
        <v>10</v>
      </c>
      <c r="C16" s="33" t="s">
        <v>43</v>
      </c>
      <c r="D16" s="85"/>
      <c r="E16" s="85"/>
      <c r="F16" s="86"/>
      <c r="G16" s="32" t="str">
        <f>IF(D16=92,"Так","Ні")</f>
        <v>Ні</v>
      </c>
      <c r="H16" s="32" t="str">
        <f>IF(E16=661,"Так","Ні")</f>
        <v>Ні</v>
      </c>
      <c r="I16" s="32" t="str">
        <f>IF(F16=1500,"Так","Ні")</f>
        <v>Ні</v>
      </c>
      <c r="K16" s="95" t="s">
        <v>6</v>
      </c>
      <c r="L16" s="96"/>
      <c r="M16" s="95" t="s">
        <v>7</v>
      </c>
      <c r="N16" s="96"/>
    </row>
    <row r="17" spans="1:14" ht="16.5" customHeight="1" x14ac:dyDescent="0.2">
      <c r="A17" s="8"/>
      <c r="B17" s="79">
        <v>11</v>
      </c>
      <c r="C17" s="33" t="s">
        <v>44</v>
      </c>
      <c r="D17" s="85"/>
      <c r="E17" s="85"/>
      <c r="F17" s="86"/>
      <c r="G17" s="32" t="str">
        <f>IF(D17=301,"Так","Ні")</f>
        <v>Ні</v>
      </c>
      <c r="H17" s="32" t="str">
        <f>IF(E17=311,"Так","Ні")</f>
        <v>Ні</v>
      </c>
      <c r="I17" s="32" t="str">
        <f>IF(F17=1500,"Так","Ні")</f>
        <v>Ні</v>
      </c>
      <c r="K17" s="34" t="s">
        <v>63</v>
      </c>
      <c r="L17" s="34" t="s">
        <v>54</v>
      </c>
      <c r="M17" s="34" t="s">
        <v>63</v>
      </c>
      <c r="N17" s="34" t="s">
        <v>54</v>
      </c>
    </row>
    <row r="18" spans="1:14" ht="17.25" customHeight="1" x14ac:dyDescent="0.2">
      <c r="A18" s="8"/>
      <c r="B18" s="79">
        <v>12</v>
      </c>
      <c r="C18" s="33" t="s">
        <v>45</v>
      </c>
      <c r="D18" s="85"/>
      <c r="E18" s="85"/>
      <c r="F18" s="86"/>
      <c r="G18" s="32" t="str">
        <f>IF(D18=661,"Так","Ні")</f>
        <v>Ні</v>
      </c>
      <c r="H18" s="32" t="str">
        <f>IF(E18=301,"Так","Ні")</f>
        <v>Ні</v>
      </c>
      <c r="I18" s="32" t="str">
        <f>IF(F18=1500,"Так","Ні")</f>
        <v>Ні</v>
      </c>
      <c r="K18" s="75"/>
      <c r="L18" s="76"/>
      <c r="M18" s="75"/>
      <c r="N18" s="76"/>
    </row>
    <row r="19" spans="1:14" ht="25.5" x14ac:dyDescent="0.2">
      <c r="A19" s="8"/>
      <c r="B19" s="79">
        <v>13</v>
      </c>
      <c r="C19" s="33" t="s">
        <v>46</v>
      </c>
      <c r="D19" s="85"/>
      <c r="E19" s="85"/>
      <c r="F19" s="86"/>
      <c r="G19" s="32" t="str">
        <f>IF(D19=92,"Так","Ні")</f>
        <v>Ні</v>
      </c>
      <c r="H19" s="32" t="str">
        <f>IF(E19=311,"Так","Ні")</f>
        <v>Ні</v>
      </c>
      <c r="I19" s="32" t="str">
        <f>IF(F19=100,"Так","Ні")</f>
        <v>Ні</v>
      </c>
      <c r="K19" s="77"/>
      <c r="L19" s="78"/>
      <c r="M19" s="75"/>
      <c r="N19" s="76"/>
    </row>
    <row r="20" spans="1:14" ht="12.75" x14ac:dyDescent="0.2">
      <c r="A20" s="8"/>
      <c r="B20" s="99">
        <v>14</v>
      </c>
      <c r="C20" s="79" t="s">
        <v>47</v>
      </c>
      <c r="D20" s="100"/>
      <c r="E20" s="100"/>
      <c r="F20" s="100"/>
      <c r="G20" s="100"/>
      <c r="H20" s="100"/>
      <c r="I20" s="100"/>
      <c r="K20" s="77"/>
      <c r="L20" s="78"/>
      <c r="M20" s="75"/>
      <c r="N20" s="76"/>
    </row>
    <row r="21" spans="1:14" ht="12.75" x14ac:dyDescent="0.2">
      <c r="B21" s="99"/>
      <c r="C21" s="33" t="s">
        <v>48</v>
      </c>
      <c r="D21" s="85"/>
      <c r="E21" s="85"/>
      <c r="F21" s="86"/>
      <c r="G21" s="32" t="str">
        <f>IF(D21=702,"Так","Ні")</f>
        <v>Ні</v>
      </c>
      <c r="H21" s="32" t="str">
        <f>IF(E21=791,"Так","Ні")</f>
        <v>Ні</v>
      </c>
      <c r="I21" s="32" t="str">
        <f>IF(F21=12000,"Так","Ні")</f>
        <v>Ні</v>
      </c>
      <c r="K21" s="35" t="s">
        <v>64</v>
      </c>
      <c r="L21" s="11">
        <f>SUM(L18:L20)</f>
        <v>0</v>
      </c>
      <c r="M21" s="35" t="s">
        <v>64</v>
      </c>
      <c r="N21" s="11">
        <f>SUM(N18:N20)</f>
        <v>0</v>
      </c>
    </row>
    <row r="22" spans="1:14" ht="12.75" x14ac:dyDescent="0.2">
      <c r="B22" s="99"/>
      <c r="C22" s="33" t="s">
        <v>49</v>
      </c>
      <c r="D22" s="85"/>
      <c r="E22" s="85"/>
      <c r="F22" s="86"/>
      <c r="G22" s="32" t="str">
        <f>IF(D22=791,"Так","Ні")</f>
        <v>Ні</v>
      </c>
      <c r="H22" s="32" t="str">
        <f>IF(E22=902,"Так","Ні")</f>
        <v>Ні</v>
      </c>
      <c r="I22" s="32" t="str">
        <f>IF(F22=8000,"Так","Ні")</f>
        <v>Ні</v>
      </c>
      <c r="K22" s="36" t="s">
        <v>55</v>
      </c>
      <c r="L22" s="14" t="str">
        <f>IF(L21=11900,"Так","Ні")</f>
        <v>Ні</v>
      </c>
      <c r="M22" s="36" t="s">
        <v>55</v>
      </c>
      <c r="N22" s="14" t="str">
        <f>IF(N21=11900,"Так","Ні")</f>
        <v>Ні</v>
      </c>
    </row>
    <row r="23" spans="1:14" ht="12.75" x14ac:dyDescent="0.2">
      <c r="B23" s="99"/>
      <c r="C23" s="33" t="s">
        <v>50</v>
      </c>
      <c r="D23" s="85"/>
      <c r="E23" s="85"/>
      <c r="F23" s="86"/>
      <c r="G23" s="32" t="str">
        <f>IF(D23=791,"Так","Ні")</f>
        <v>Ні</v>
      </c>
      <c r="H23" s="32" t="str">
        <f>IF(E23=92,"Так","Ні")</f>
        <v>Ні</v>
      </c>
      <c r="I23" s="32" t="str">
        <f>IF(F23=2100,"Так","Ні")</f>
        <v>Ні</v>
      </c>
      <c r="K23" s="15" t="s">
        <v>81</v>
      </c>
    </row>
    <row r="24" spans="1:14" ht="12.75" x14ac:dyDescent="0.2">
      <c r="B24" s="99"/>
      <c r="C24" s="33" t="s">
        <v>51</v>
      </c>
      <c r="D24" s="85"/>
      <c r="E24" s="85"/>
      <c r="F24" s="86"/>
      <c r="G24" s="32" t="str">
        <f>IF(D24=791,"Так","Ні")</f>
        <v>Ні</v>
      </c>
      <c r="H24" s="32" t="str">
        <f>IF(E24=93,"Так","Ні")</f>
        <v>Ні</v>
      </c>
      <c r="I24" s="32" t="str">
        <f>IF(F24=1000,"Так","Ні")</f>
        <v>Ні</v>
      </c>
      <c r="K24" s="97" t="s">
        <v>8</v>
      </c>
      <c r="L24" s="98"/>
      <c r="M24" s="98"/>
      <c r="N24" s="98"/>
    </row>
    <row r="25" spans="1:14" ht="25.5" x14ac:dyDescent="0.2">
      <c r="B25" s="99"/>
      <c r="C25" s="33" t="s">
        <v>52</v>
      </c>
      <c r="D25" s="85"/>
      <c r="E25" s="85"/>
      <c r="F25" s="86"/>
      <c r="G25" s="32" t="str">
        <f>IF(D25=791,"Так","Ні")</f>
        <v>Ні</v>
      </c>
      <c r="H25" s="32" t="str">
        <f>IF(E25=441,"Так","Ні")</f>
        <v>Ні</v>
      </c>
      <c r="I25" s="32" t="str">
        <f>IF(F25=900,"Так","Ні")</f>
        <v>Ні</v>
      </c>
      <c r="K25" s="101" t="s">
        <v>1</v>
      </c>
      <c r="L25" s="102"/>
      <c r="M25" s="101" t="s">
        <v>65</v>
      </c>
      <c r="N25" s="102"/>
    </row>
    <row r="26" spans="1:14" ht="12.75" x14ac:dyDescent="0.2">
      <c r="K26" s="37" t="s">
        <v>66</v>
      </c>
      <c r="L26" s="38" t="s">
        <v>54</v>
      </c>
      <c r="M26" s="37" t="s">
        <v>66</v>
      </c>
      <c r="N26" s="38" t="s">
        <v>54</v>
      </c>
    </row>
    <row r="27" spans="1:14" ht="12.75" x14ac:dyDescent="0.2">
      <c r="K27" s="84" t="s">
        <v>67</v>
      </c>
      <c r="L27" s="87"/>
      <c r="M27" s="84" t="s">
        <v>68</v>
      </c>
      <c r="N27" s="76"/>
    </row>
    <row r="28" spans="1:14" ht="12.75" x14ac:dyDescent="0.2">
      <c r="K28" s="84" t="s">
        <v>69</v>
      </c>
      <c r="L28" s="88"/>
      <c r="M28" s="84" t="s">
        <v>80</v>
      </c>
      <c r="N28" s="76"/>
    </row>
    <row r="29" spans="1:14" ht="12.75" x14ac:dyDescent="0.2">
      <c r="C29" s="103" t="s">
        <v>198</v>
      </c>
      <c r="D29" s="103"/>
      <c r="E29" s="61" t="s">
        <v>199</v>
      </c>
      <c r="F29" s="62"/>
      <c r="G29" s="62"/>
      <c r="H29" s="62"/>
      <c r="I29" s="63" t="s">
        <v>197</v>
      </c>
      <c r="K29" s="42" t="s">
        <v>70</v>
      </c>
      <c r="L29" s="88"/>
      <c r="M29" s="84" t="s">
        <v>71</v>
      </c>
      <c r="N29" s="76"/>
    </row>
    <row r="30" spans="1:14" ht="12.75" x14ac:dyDescent="0.2">
      <c r="C30" s="104" t="s">
        <v>200</v>
      </c>
      <c r="D30" s="104" t="s">
        <v>201</v>
      </c>
      <c r="E30" s="104"/>
      <c r="F30" s="104" t="s">
        <v>202</v>
      </c>
      <c r="G30" s="104"/>
      <c r="H30" s="104" t="s">
        <v>203</v>
      </c>
      <c r="I30" s="104"/>
      <c r="K30" s="42" t="s">
        <v>72</v>
      </c>
      <c r="L30" s="88"/>
      <c r="M30" s="43" t="s">
        <v>73</v>
      </c>
      <c r="N30" s="76"/>
    </row>
    <row r="31" spans="1:14" ht="12.75" x14ac:dyDescent="0.2">
      <c r="C31" s="104"/>
      <c r="D31" s="82" t="s">
        <v>12</v>
      </c>
      <c r="E31" s="82" t="s">
        <v>13</v>
      </c>
      <c r="F31" s="29" t="s">
        <v>12</v>
      </c>
      <c r="G31" s="29" t="s">
        <v>13</v>
      </c>
      <c r="H31" s="29" t="s">
        <v>12</v>
      </c>
      <c r="I31" s="29" t="s">
        <v>13</v>
      </c>
      <c r="K31" s="42" t="s">
        <v>74</v>
      </c>
      <c r="L31" s="88"/>
      <c r="M31" s="43" t="s">
        <v>75</v>
      </c>
      <c r="N31" s="76"/>
    </row>
    <row r="32" spans="1:14" ht="12.75" x14ac:dyDescent="0.2">
      <c r="C32" s="65" t="s">
        <v>205</v>
      </c>
      <c r="D32" s="66">
        <v>0</v>
      </c>
      <c r="E32" s="66">
        <v>0</v>
      </c>
      <c r="F32" s="66">
        <f>F9</f>
        <v>0</v>
      </c>
      <c r="G32" s="66">
        <f>F12</f>
        <v>0</v>
      </c>
      <c r="H32" s="66">
        <f>IF(D32+F32&gt;E32+G32,D32-E32+F32-G32,0)</f>
        <v>0</v>
      </c>
      <c r="I32" s="66">
        <f>IF(D32+F32&lt;E32+G32,E32-D32+G32-F32,0)</f>
        <v>0</v>
      </c>
      <c r="K32" s="42" t="s">
        <v>76</v>
      </c>
      <c r="L32" s="88"/>
      <c r="M32" s="43" t="s">
        <v>77</v>
      </c>
      <c r="N32" s="89"/>
    </row>
    <row r="33" spans="3:14" ht="12.75" x14ac:dyDescent="0.2">
      <c r="C33" s="65" t="s">
        <v>206</v>
      </c>
      <c r="D33" s="66">
        <v>0</v>
      </c>
      <c r="E33" s="66">
        <v>0</v>
      </c>
      <c r="F33" s="66">
        <f>F17</f>
        <v>0</v>
      </c>
      <c r="G33" s="66">
        <f>F18</f>
        <v>0</v>
      </c>
      <c r="H33" s="66">
        <f t="shared" ref="H33:H46" si="0">IF(D33+F33&gt;E33+G33,D33-E33+F33-G33,0)</f>
        <v>0</v>
      </c>
      <c r="I33" s="66">
        <f t="shared" ref="I33:I46" si="1">IF(D33+F33&lt;E33+G33,E33-D33+G33-F33,0)</f>
        <v>0</v>
      </c>
      <c r="K33" s="42" t="s">
        <v>78</v>
      </c>
      <c r="L33" s="88"/>
      <c r="M33" s="43" t="s">
        <v>79</v>
      </c>
      <c r="N33" s="89"/>
    </row>
    <row r="34" spans="3:14" ht="12.75" x14ac:dyDescent="0.2">
      <c r="C34" s="65" t="s">
        <v>207</v>
      </c>
      <c r="D34" s="66">
        <v>0</v>
      </c>
      <c r="E34" s="66">
        <v>0</v>
      </c>
      <c r="F34" s="66">
        <f>F7+F10</f>
        <v>0</v>
      </c>
      <c r="G34" s="66">
        <f>F8+F13+F17+F19</f>
        <v>0</v>
      </c>
      <c r="H34" s="66">
        <f t="shared" si="0"/>
        <v>0</v>
      </c>
      <c r="I34" s="66">
        <f t="shared" si="1"/>
        <v>0</v>
      </c>
      <c r="K34" s="44" t="s">
        <v>64</v>
      </c>
      <c r="L34" s="45">
        <f>SUM(L27:L33)</f>
        <v>0</v>
      </c>
      <c r="M34" s="46" t="s">
        <v>64</v>
      </c>
      <c r="N34" s="47">
        <f>SUM(N27:N33)</f>
        <v>0</v>
      </c>
    </row>
    <row r="35" spans="3:14" ht="12.75" x14ac:dyDescent="0.2">
      <c r="C35" s="65" t="s">
        <v>208</v>
      </c>
      <c r="D35" s="66">
        <v>0</v>
      </c>
      <c r="E35" s="66">
        <v>0</v>
      </c>
      <c r="F35" s="66">
        <f>F11</f>
        <v>0</v>
      </c>
      <c r="G35" s="66">
        <f>F10</f>
        <v>0</v>
      </c>
      <c r="H35" s="66">
        <f t="shared" si="0"/>
        <v>0</v>
      </c>
      <c r="I35" s="66">
        <f t="shared" si="1"/>
        <v>0</v>
      </c>
      <c r="K35" s="36" t="s">
        <v>55</v>
      </c>
      <c r="L35" s="14" t="str">
        <f>IF(L34=11900,"Так","Ні")</f>
        <v>Ні</v>
      </c>
      <c r="M35" s="36" t="s">
        <v>55</v>
      </c>
      <c r="N35" s="14" t="str">
        <f>IF(N34=11900,"Так","Ні")</f>
        <v>Ні</v>
      </c>
    </row>
    <row r="36" spans="3:14" ht="12.75" x14ac:dyDescent="0.2">
      <c r="C36" s="65" t="s">
        <v>209</v>
      </c>
      <c r="D36" s="66">
        <v>0</v>
      </c>
      <c r="E36" s="66">
        <v>0</v>
      </c>
      <c r="F36" s="66">
        <f>F13</f>
        <v>0</v>
      </c>
      <c r="G36" s="66">
        <f>F14</f>
        <v>0</v>
      </c>
      <c r="H36" s="66">
        <f t="shared" si="0"/>
        <v>0</v>
      </c>
      <c r="I36" s="66">
        <f t="shared" si="1"/>
        <v>0</v>
      </c>
      <c r="K36" s="15" t="s">
        <v>82</v>
      </c>
    </row>
    <row r="37" spans="3:14" ht="15.75" customHeight="1" x14ac:dyDescent="0.2">
      <c r="C37" s="65" t="s">
        <v>210</v>
      </c>
      <c r="D37" s="66">
        <v>0</v>
      </c>
      <c r="E37" s="66">
        <v>0</v>
      </c>
      <c r="F37" s="66">
        <v>0</v>
      </c>
      <c r="G37" s="66">
        <f>F6</f>
        <v>0</v>
      </c>
      <c r="H37" s="66">
        <f t="shared" si="0"/>
        <v>0</v>
      </c>
      <c r="I37" s="66">
        <f t="shared" si="1"/>
        <v>0</v>
      </c>
    </row>
    <row r="38" spans="3:14" ht="15.75" customHeight="1" x14ac:dyDescent="0.2">
      <c r="C38" s="65" t="s">
        <v>211</v>
      </c>
      <c r="D38" s="66">
        <v>0</v>
      </c>
      <c r="E38" s="66">
        <v>0</v>
      </c>
      <c r="F38" s="66">
        <v>0</v>
      </c>
      <c r="G38" s="66">
        <f>F25</f>
        <v>0</v>
      </c>
      <c r="H38" s="66">
        <f t="shared" si="0"/>
        <v>0</v>
      </c>
      <c r="I38" s="66">
        <f t="shared" si="1"/>
        <v>0</v>
      </c>
    </row>
    <row r="39" spans="3:14" ht="15.75" customHeight="1" x14ac:dyDescent="0.2">
      <c r="C39" s="65" t="s">
        <v>212</v>
      </c>
      <c r="D39" s="66">
        <v>0</v>
      </c>
      <c r="E39" s="66">
        <v>0</v>
      </c>
      <c r="F39" s="66">
        <f>F6</f>
        <v>0</v>
      </c>
      <c r="G39" s="66">
        <f>F7</f>
        <v>0</v>
      </c>
      <c r="H39" s="66">
        <f t="shared" si="0"/>
        <v>0</v>
      </c>
      <c r="I39" s="66">
        <f t="shared" si="1"/>
        <v>0</v>
      </c>
    </row>
    <row r="40" spans="3:14" ht="15.75" customHeight="1" x14ac:dyDescent="0.2">
      <c r="C40" s="65" t="s">
        <v>214</v>
      </c>
      <c r="D40" s="66">
        <v>0</v>
      </c>
      <c r="E40" s="66">
        <v>0</v>
      </c>
      <c r="F40" s="66">
        <f>F8</f>
        <v>0</v>
      </c>
      <c r="G40" s="66">
        <f>F9+F15</f>
        <v>0</v>
      </c>
      <c r="H40" s="66">
        <f t="shared" si="0"/>
        <v>0</v>
      </c>
      <c r="I40" s="66">
        <f t="shared" si="1"/>
        <v>0</v>
      </c>
    </row>
    <row r="41" spans="3:14" ht="15.75" customHeight="1" x14ac:dyDescent="0.2">
      <c r="C41" s="65" t="s">
        <v>215</v>
      </c>
      <c r="D41" s="66">
        <v>0</v>
      </c>
      <c r="E41" s="66">
        <v>0</v>
      </c>
      <c r="F41" s="66">
        <f>F18</f>
        <v>0</v>
      </c>
      <c r="G41" s="66">
        <f>F16</f>
        <v>0</v>
      </c>
      <c r="H41" s="66">
        <f t="shared" si="0"/>
        <v>0</v>
      </c>
      <c r="I41" s="66">
        <f t="shared" si="1"/>
        <v>0</v>
      </c>
    </row>
    <row r="42" spans="3:14" ht="15.75" customHeight="1" x14ac:dyDescent="0.2">
      <c r="C42" s="65" t="s">
        <v>221</v>
      </c>
      <c r="D42" s="66">
        <v>0</v>
      </c>
      <c r="E42" s="66">
        <v>0</v>
      </c>
      <c r="F42" s="66">
        <f>F22+F23+F24+F25</f>
        <v>0</v>
      </c>
      <c r="G42" s="66">
        <f>F21</f>
        <v>0</v>
      </c>
      <c r="H42" s="66">
        <f t="shared" si="0"/>
        <v>0</v>
      </c>
      <c r="I42" s="66">
        <f t="shared" si="1"/>
        <v>0</v>
      </c>
    </row>
    <row r="43" spans="3:14" ht="15.75" customHeight="1" x14ac:dyDescent="0.2">
      <c r="C43" s="65" t="s">
        <v>216</v>
      </c>
      <c r="D43" s="66">
        <v>0</v>
      </c>
      <c r="E43" s="66">
        <v>0</v>
      </c>
      <c r="F43" s="66">
        <f>F21</f>
        <v>0</v>
      </c>
      <c r="G43" s="66">
        <f>F11</f>
        <v>0</v>
      </c>
      <c r="H43" s="66">
        <f t="shared" si="0"/>
        <v>0</v>
      </c>
      <c r="I43" s="66">
        <f t="shared" si="1"/>
        <v>0</v>
      </c>
    </row>
    <row r="44" spans="3:14" ht="15.75" customHeight="1" x14ac:dyDescent="0.2">
      <c r="C44" s="65" t="s">
        <v>217</v>
      </c>
      <c r="D44" s="66">
        <v>0</v>
      </c>
      <c r="E44" s="66">
        <v>0</v>
      </c>
      <c r="F44" s="66">
        <f>F12</f>
        <v>0</v>
      </c>
      <c r="G44" s="66">
        <f>F22</f>
        <v>0</v>
      </c>
      <c r="H44" s="66">
        <f t="shared" si="0"/>
        <v>0</v>
      </c>
      <c r="I44" s="66">
        <f t="shared" si="1"/>
        <v>0</v>
      </c>
    </row>
    <row r="45" spans="3:14" ht="15.75" customHeight="1" x14ac:dyDescent="0.2">
      <c r="C45" s="65" t="s">
        <v>218</v>
      </c>
      <c r="D45" s="66">
        <v>0</v>
      </c>
      <c r="E45" s="66">
        <v>0</v>
      </c>
      <c r="F45" s="66">
        <f>F14+F16+F19</f>
        <v>0</v>
      </c>
      <c r="G45" s="66">
        <f>F23</f>
        <v>0</v>
      </c>
      <c r="H45" s="66">
        <f t="shared" si="0"/>
        <v>0</v>
      </c>
      <c r="I45" s="66">
        <f t="shared" si="1"/>
        <v>0</v>
      </c>
    </row>
    <row r="46" spans="3:14" ht="15.75" customHeight="1" x14ac:dyDescent="0.2">
      <c r="C46" s="65" t="s">
        <v>219</v>
      </c>
      <c r="D46" s="66">
        <v>0</v>
      </c>
      <c r="E46" s="66">
        <v>0</v>
      </c>
      <c r="F46" s="66">
        <f>F15</f>
        <v>0</v>
      </c>
      <c r="G46" s="66">
        <f>F24</f>
        <v>0</v>
      </c>
      <c r="H46" s="66">
        <f t="shared" si="0"/>
        <v>0</v>
      </c>
      <c r="I46" s="66">
        <f t="shared" si="1"/>
        <v>0</v>
      </c>
    </row>
    <row r="47" spans="3:14" ht="15.75" customHeight="1" x14ac:dyDescent="0.2">
      <c r="C47" s="67" t="s">
        <v>64</v>
      </c>
      <c r="D47" s="68">
        <f t="shared" ref="D47:I47" si="2">SUM(D32:D46)</f>
        <v>0</v>
      </c>
      <c r="E47" s="68">
        <f t="shared" si="2"/>
        <v>0</v>
      </c>
      <c r="F47" s="68">
        <f t="shared" si="2"/>
        <v>0</v>
      </c>
      <c r="G47" s="68">
        <f t="shared" si="2"/>
        <v>0</v>
      </c>
      <c r="H47" s="68">
        <f t="shared" si="2"/>
        <v>0</v>
      </c>
      <c r="I47" s="68">
        <f t="shared" si="2"/>
        <v>0</v>
      </c>
    </row>
  </sheetData>
  <sheetProtection algorithmName="SHA-512" hashValue="iapBScbBeMWYwhw5xZEpQCW95UhmcQyTgWvbnm6OqXGOg9LrqFeBpQsvrgsZJeTPIz+T3PhYXzJ/ZuALOoKsKA==" saltValue="TM018tInh0XPICCSQJlzqg==" spinCount="100000" sheet="1" formatCells="0"/>
  <mergeCells count="19">
    <mergeCell ref="C29:D29"/>
    <mergeCell ref="C30:C31"/>
    <mergeCell ref="D30:E30"/>
    <mergeCell ref="F30:G30"/>
    <mergeCell ref="H30:I30"/>
    <mergeCell ref="B11:B12"/>
    <mergeCell ref="C11:C12"/>
    <mergeCell ref="G4:I4"/>
    <mergeCell ref="M16:N16"/>
    <mergeCell ref="K24:N24"/>
    <mergeCell ref="K16:L16"/>
    <mergeCell ref="B20:B25"/>
    <mergeCell ref="D20:I20"/>
    <mergeCell ref="K25:L25"/>
    <mergeCell ref="M25:N25"/>
    <mergeCell ref="K4:N4"/>
    <mergeCell ref="K5:L5"/>
    <mergeCell ref="M5:N5"/>
    <mergeCell ref="K15:N15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2"/>
  <sheetViews>
    <sheetView showGridLines="0" showRowColHeaders="0" zoomScaleNormal="100" workbookViewId="0">
      <selection activeCell="G28" sqref="G28"/>
    </sheetView>
  </sheetViews>
  <sheetFormatPr defaultColWidth="14.42578125" defaultRowHeight="15.75" customHeight="1" x14ac:dyDescent="0.2"/>
  <cols>
    <col min="1" max="1" width="1.42578125" style="7" customWidth="1"/>
    <col min="2" max="2" width="3.140625" style="7" customWidth="1"/>
    <col min="3" max="3" width="46.28515625" style="7" customWidth="1"/>
    <col min="4" max="4" width="8.85546875" style="7" customWidth="1"/>
    <col min="5" max="5" width="9.140625" style="7" customWidth="1"/>
    <col min="6" max="6" width="9.42578125" style="7" customWidth="1"/>
    <col min="7" max="7" width="9.140625" style="7" customWidth="1"/>
    <col min="8" max="8" width="8.28515625" style="7" customWidth="1"/>
    <col min="9" max="9" width="8" style="7" customWidth="1"/>
    <col min="10" max="10" width="2.5703125" style="7" customWidth="1"/>
    <col min="11" max="11" width="27" style="7" customWidth="1"/>
    <col min="12" max="12" width="11.85546875" style="7" customWidth="1"/>
    <col min="13" max="13" width="27.7109375" style="7" customWidth="1"/>
    <col min="14" max="14" width="13.140625" style="7" customWidth="1"/>
    <col min="15" max="16384" width="14.42578125" style="7"/>
  </cols>
  <sheetData>
    <row r="1" spans="1:14" ht="22.5" customHeight="1" x14ac:dyDescent="0.25">
      <c r="A1" s="1"/>
      <c r="B1" s="2" t="s">
        <v>86</v>
      </c>
      <c r="C1" s="1"/>
      <c r="D1" s="48" t="s">
        <v>83</v>
      </c>
      <c r="F1" s="1"/>
    </row>
    <row r="2" spans="1:14" ht="12.75" customHeight="1" x14ac:dyDescent="0.2">
      <c r="A2" s="1"/>
      <c r="B2" s="1"/>
      <c r="C2" s="1"/>
      <c r="D2" s="48" t="s">
        <v>87</v>
      </c>
      <c r="E2" s="1"/>
      <c r="F2" s="1"/>
      <c r="G2" s="3"/>
      <c r="H2" s="3"/>
      <c r="I2" s="3"/>
      <c r="K2" s="6"/>
      <c r="L2" s="6"/>
      <c r="M2" s="6"/>
      <c r="N2" s="6"/>
    </row>
    <row r="3" spans="1:14" ht="8.25" customHeight="1" x14ac:dyDescent="0.2">
      <c r="A3" s="1"/>
      <c r="B3" s="1"/>
      <c r="C3" s="1"/>
      <c r="D3" s="1"/>
      <c r="E3" s="1"/>
      <c r="F3" s="1"/>
      <c r="G3" s="3"/>
      <c r="H3" s="3"/>
      <c r="I3" s="3"/>
      <c r="K3" s="6"/>
      <c r="L3" s="6"/>
      <c r="M3" s="6"/>
      <c r="N3" s="6"/>
    </row>
    <row r="4" spans="1:14" ht="18.75" customHeight="1" x14ac:dyDescent="0.2">
      <c r="A4" s="1"/>
      <c r="B4" s="4" t="s">
        <v>85</v>
      </c>
      <c r="D4" s="5"/>
      <c r="E4" s="5"/>
      <c r="F4" s="5"/>
      <c r="G4" s="92" t="s">
        <v>55</v>
      </c>
      <c r="H4" s="93"/>
      <c r="I4" s="94"/>
      <c r="K4" s="97" t="s">
        <v>56</v>
      </c>
      <c r="L4" s="98"/>
      <c r="M4" s="98"/>
      <c r="N4" s="98"/>
    </row>
    <row r="5" spans="1:14" ht="18" customHeight="1" x14ac:dyDescent="0.2">
      <c r="A5" s="1"/>
      <c r="B5" s="29" t="s">
        <v>0</v>
      </c>
      <c r="C5" s="51" t="s">
        <v>53</v>
      </c>
      <c r="D5" s="29" t="s">
        <v>2</v>
      </c>
      <c r="E5" s="29" t="s">
        <v>3</v>
      </c>
      <c r="F5" s="29" t="s">
        <v>54</v>
      </c>
      <c r="G5" s="30" t="s">
        <v>2</v>
      </c>
      <c r="H5" s="30" t="s">
        <v>3</v>
      </c>
      <c r="I5" s="30" t="s">
        <v>54</v>
      </c>
      <c r="K5" s="95" t="s">
        <v>2</v>
      </c>
      <c r="L5" s="96"/>
      <c r="M5" s="95" t="s">
        <v>3</v>
      </c>
      <c r="N5" s="96"/>
    </row>
    <row r="6" spans="1:14" ht="30.75" customHeight="1" x14ac:dyDescent="0.2">
      <c r="A6" s="8"/>
      <c r="B6" s="49">
        <v>1</v>
      </c>
      <c r="C6" s="31" t="s">
        <v>88</v>
      </c>
      <c r="D6" s="85"/>
      <c r="E6" s="85"/>
      <c r="F6" s="86"/>
      <c r="G6" s="9" t="str">
        <f>IF(D6=311,"Так","Ні")</f>
        <v>Ні</v>
      </c>
      <c r="H6" s="9" t="str">
        <f>IF(E6=601,"Так","Ні")</f>
        <v>Ні</v>
      </c>
      <c r="I6" s="9" t="str">
        <f>IF(F6=15000,"Так","Ні")</f>
        <v>Ні</v>
      </c>
      <c r="J6" s="10"/>
      <c r="K6" s="34" t="s">
        <v>57</v>
      </c>
      <c r="L6" s="34" t="s">
        <v>54</v>
      </c>
      <c r="M6" s="34" t="s">
        <v>57</v>
      </c>
      <c r="N6" s="34" t="s">
        <v>54</v>
      </c>
    </row>
    <row r="7" spans="1:14" ht="27.75" customHeight="1" x14ac:dyDescent="0.2">
      <c r="A7" s="8"/>
      <c r="B7" s="49">
        <v>2</v>
      </c>
      <c r="C7" s="31" t="s">
        <v>89</v>
      </c>
      <c r="D7" s="85"/>
      <c r="E7" s="85"/>
      <c r="F7" s="86"/>
      <c r="G7" s="9" t="str">
        <f>IF(D7=201,"Так","Ні")</f>
        <v>Ні</v>
      </c>
      <c r="H7" s="9" t="str">
        <f>IF(E7=631,"Так","Ні")</f>
        <v>Ні</v>
      </c>
      <c r="I7" s="9" t="str">
        <f>IF(F7=5000,"Так","Ні")</f>
        <v>Ні</v>
      </c>
      <c r="K7" s="35" t="s">
        <v>58</v>
      </c>
      <c r="L7" s="11">
        <v>0</v>
      </c>
      <c r="M7" s="35" t="s">
        <v>58</v>
      </c>
      <c r="N7" s="12" t="s">
        <v>4</v>
      </c>
    </row>
    <row r="8" spans="1:14" ht="27.75" customHeight="1" x14ac:dyDescent="0.2">
      <c r="A8" s="8"/>
      <c r="B8" s="49">
        <v>3</v>
      </c>
      <c r="C8" s="31" t="s">
        <v>90</v>
      </c>
      <c r="D8" s="85"/>
      <c r="E8" s="85"/>
      <c r="F8" s="86"/>
      <c r="G8" s="9" t="str">
        <f>IF(D8=631,"Так","Ні")</f>
        <v>Ні</v>
      </c>
      <c r="H8" s="9" t="str">
        <f>IF(E8=311,"Так","Ні")</f>
        <v>Ні</v>
      </c>
      <c r="I8" s="9" t="str">
        <f>IF(F8=5000,"Так","Ні")</f>
        <v>Ні</v>
      </c>
      <c r="K8" s="75"/>
      <c r="L8" s="76"/>
      <c r="M8" s="75"/>
      <c r="N8" s="76"/>
    </row>
    <row r="9" spans="1:14" ht="27.75" customHeight="1" x14ac:dyDescent="0.2">
      <c r="A9" s="8"/>
      <c r="B9" s="49">
        <v>4</v>
      </c>
      <c r="C9" s="31" t="s">
        <v>91</v>
      </c>
      <c r="D9" s="85"/>
      <c r="E9" s="85"/>
      <c r="F9" s="86"/>
      <c r="G9" s="9" t="str">
        <f>IF(D9=361,"Так","Ні")</f>
        <v>Ні</v>
      </c>
      <c r="H9" s="9" t="str">
        <f>IF(E9=703,"Так","Ні")</f>
        <v>Ні</v>
      </c>
      <c r="I9" s="9" t="str">
        <f>IF(F9=10000,"Так","Ні")</f>
        <v>Ні</v>
      </c>
      <c r="K9" s="75"/>
      <c r="L9" s="76"/>
      <c r="M9" s="75"/>
      <c r="N9" s="76"/>
    </row>
    <row r="10" spans="1:14" ht="25.5" x14ac:dyDescent="0.2">
      <c r="A10" s="8"/>
      <c r="B10" s="49">
        <v>5</v>
      </c>
      <c r="C10" s="31" t="s">
        <v>92</v>
      </c>
      <c r="D10" s="85"/>
      <c r="E10" s="85"/>
      <c r="F10" s="86"/>
      <c r="G10" s="9" t="str">
        <f>IF(D10=301,"Так","Ні")</f>
        <v>Ні</v>
      </c>
      <c r="H10" s="9" t="str">
        <f>IF(E10=361,"Так","Ні")</f>
        <v>Ні</v>
      </c>
      <c r="I10" s="9" t="str">
        <f>IF(F10=10000,"Так","Ні")</f>
        <v>Ні</v>
      </c>
      <c r="K10" s="11" t="s">
        <v>5</v>
      </c>
      <c r="L10" s="13">
        <f>SUM(L8:L9)</f>
        <v>0</v>
      </c>
      <c r="M10" s="11" t="s">
        <v>5</v>
      </c>
      <c r="N10" s="13">
        <f>SUM(N8:N9)</f>
        <v>0</v>
      </c>
    </row>
    <row r="11" spans="1:14" ht="24.75" customHeight="1" x14ac:dyDescent="0.2">
      <c r="A11" s="8"/>
      <c r="B11" s="49">
        <v>6</v>
      </c>
      <c r="C11" s="31" t="s">
        <v>93</v>
      </c>
      <c r="D11" s="85"/>
      <c r="E11" s="85"/>
      <c r="F11" s="86"/>
      <c r="G11" s="9" t="str">
        <f>IF(D11=311,"Так","Ні")</f>
        <v>Ні</v>
      </c>
      <c r="H11" s="9" t="str">
        <f>IF(E11=301,"Так","Ні")</f>
        <v>Ні</v>
      </c>
      <c r="I11" s="9" t="str">
        <f>IF(F11=10000,"Так","Ні")</f>
        <v>Ні</v>
      </c>
      <c r="K11" s="35" t="s">
        <v>59</v>
      </c>
      <c r="L11" s="13">
        <f>L7+L10-N10</f>
        <v>0</v>
      </c>
      <c r="M11" s="35" t="s">
        <v>59</v>
      </c>
      <c r="N11" s="12" t="s">
        <v>4</v>
      </c>
    </row>
    <row r="12" spans="1:14" ht="38.25" customHeight="1" x14ac:dyDescent="0.2">
      <c r="A12" s="8"/>
      <c r="B12" s="49">
        <v>7</v>
      </c>
      <c r="C12" s="31" t="s">
        <v>94</v>
      </c>
      <c r="D12" s="85"/>
      <c r="E12" s="85"/>
      <c r="F12" s="86"/>
      <c r="G12" s="9" t="str">
        <f>IF(D12=23,"Так","Ні")</f>
        <v>Ні</v>
      </c>
      <c r="H12" s="9" t="str">
        <f>IF(E12=201,"Так","Ні")</f>
        <v>Ні</v>
      </c>
      <c r="I12" s="9" t="str">
        <f>IF(F12=4000,"Так","Ні")</f>
        <v>Ні</v>
      </c>
      <c r="K12" s="36" t="s">
        <v>55</v>
      </c>
      <c r="L12" s="14" t="str">
        <f>IF(L11=5000,"Так","Ні")</f>
        <v>Ні</v>
      </c>
      <c r="M12" s="15" t="s">
        <v>61</v>
      </c>
      <c r="N12" s="16"/>
    </row>
    <row r="13" spans="1:14" ht="25.5" x14ac:dyDescent="0.2">
      <c r="A13" s="8"/>
      <c r="B13" s="49">
        <v>8</v>
      </c>
      <c r="C13" s="31" t="s">
        <v>95</v>
      </c>
      <c r="D13" s="85"/>
      <c r="E13" s="85"/>
      <c r="F13" s="86"/>
      <c r="G13" s="9" t="str">
        <f>IF(D13=631,"Так","Ні")</f>
        <v>Ні</v>
      </c>
      <c r="H13" s="9" t="str">
        <f>IF(E13=311,"Так","Ні")</f>
        <v>Ні</v>
      </c>
      <c r="I13" s="9" t="str">
        <f>IF(F13=15000,"Так","Ні")</f>
        <v>Ні</v>
      </c>
      <c r="K13" s="97" t="s">
        <v>62</v>
      </c>
      <c r="L13" s="98"/>
      <c r="M13" s="98"/>
      <c r="N13" s="98"/>
    </row>
    <row r="14" spans="1:14" ht="25.5" x14ac:dyDescent="0.2">
      <c r="A14" s="8"/>
      <c r="B14" s="49">
        <v>9</v>
      </c>
      <c r="C14" s="31" t="s">
        <v>96</v>
      </c>
      <c r="D14" s="85"/>
      <c r="E14" s="85"/>
      <c r="F14" s="86"/>
      <c r="G14" s="9" t="str">
        <f>IF(D14=152,"Так","Ні")</f>
        <v>Ні</v>
      </c>
      <c r="H14" s="9" t="str">
        <f>IF(E14=631,"Так","Ні")</f>
        <v>Ні</v>
      </c>
      <c r="I14" s="9" t="str">
        <f>IF(F14=15000,"Так","Ні")</f>
        <v>Ні</v>
      </c>
      <c r="K14" s="95" t="s">
        <v>6</v>
      </c>
      <c r="L14" s="96"/>
      <c r="M14" s="95" t="s">
        <v>7</v>
      </c>
      <c r="N14" s="96"/>
    </row>
    <row r="15" spans="1:14" ht="20.25" customHeight="1" x14ac:dyDescent="0.2">
      <c r="A15" s="8"/>
      <c r="B15" s="49">
        <v>10</v>
      </c>
      <c r="C15" s="31" t="s">
        <v>97</v>
      </c>
      <c r="D15" s="85"/>
      <c r="E15" s="85"/>
      <c r="F15" s="86"/>
      <c r="G15" s="9" t="str">
        <f>IF(D15=104,"Так","Ні")</f>
        <v>Ні</v>
      </c>
      <c r="H15" s="9" t="str">
        <f>IF(E15=152,"Так","Ні")</f>
        <v>Ні</v>
      </c>
      <c r="I15" s="9" t="str">
        <f>IF(F15=15000,"Так","Ні")</f>
        <v>Ні</v>
      </c>
      <c r="K15" s="34" t="s">
        <v>63</v>
      </c>
      <c r="L15" s="34" t="s">
        <v>54</v>
      </c>
      <c r="M15" s="34" t="s">
        <v>63</v>
      </c>
      <c r="N15" s="34" t="s">
        <v>54</v>
      </c>
    </row>
    <row r="16" spans="1:14" ht="27.75" customHeight="1" x14ac:dyDescent="0.2">
      <c r="A16" s="8"/>
      <c r="B16" s="49">
        <v>11</v>
      </c>
      <c r="C16" s="31" t="s">
        <v>98</v>
      </c>
      <c r="D16" s="85"/>
      <c r="E16" s="85"/>
      <c r="F16" s="86"/>
      <c r="G16" s="9" t="str">
        <f>IF(D16=951,"Так","Ні")</f>
        <v>Ні</v>
      </c>
      <c r="H16" s="9" t="str">
        <f>IF(E16=684,"Так","Ні")</f>
        <v>Ні</v>
      </c>
      <c r="I16" s="9" t="str">
        <f>IF(F16=500,"Так","Ні")</f>
        <v>Ні</v>
      </c>
      <c r="K16" s="75"/>
      <c r="L16" s="76"/>
      <c r="M16" s="75"/>
      <c r="N16" s="76"/>
    </row>
    <row r="17" spans="1:14" ht="21.75" customHeight="1" x14ac:dyDescent="0.2">
      <c r="A17" s="8"/>
      <c r="B17" s="105">
        <v>12</v>
      </c>
      <c r="C17" s="107" t="s">
        <v>99</v>
      </c>
      <c r="D17" s="85"/>
      <c r="E17" s="85"/>
      <c r="F17" s="86"/>
      <c r="G17" s="9" t="str">
        <f>IF(D17=92,"Так","Ні")</f>
        <v>Ні</v>
      </c>
      <c r="H17" s="9" t="str">
        <f>IF(E17=661,"Так","Ні")</f>
        <v>Ні</v>
      </c>
      <c r="I17" s="9" t="str">
        <f>IF(F17=1500,"Так","Ні")</f>
        <v>Ні</v>
      </c>
      <c r="K17" s="75"/>
      <c r="L17" s="76"/>
      <c r="M17" s="75"/>
      <c r="N17" s="76"/>
    </row>
    <row r="18" spans="1:14" ht="20.25" customHeight="1" x14ac:dyDescent="0.2">
      <c r="A18" s="8"/>
      <c r="B18" s="106"/>
      <c r="C18" s="107"/>
      <c r="D18" s="85"/>
      <c r="E18" s="85"/>
      <c r="F18" s="86"/>
      <c r="G18" s="9" t="str">
        <f>IF(D18=23,"Так","Ні")</f>
        <v>Ні</v>
      </c>
      <c r="H18" s="9" t="str">
        <f>IF(E18=661,"Так","Ні")</f>
        <v>Ні</v>
      </c>
      <c r="I18" s="9" t="str">
        <f>IF(F18=2000,"Так","Ні")</f>
        <v>Ні</v>
      </c>
      <c r="K18" s="75"/>
      <c r="L18" s="76"/>
      <c r="M18" s="75"/>
      <c r="N18" s="76"/>
    </row>
    <row r="19" spans="1:14" ht="37.5" customHeight="1" x14ac:dyDescent="0.2">
      <c r="A19" s="8"/>
      <c r="B19" s="49">
        <v>13</v>
      </c>
      <c r="C19" s="33" t="s">
        <v>100</v>
      </c>
      <c r="D19" s="85"/>
      <c r="E19" s="85"/>
      <c r="F19" s="86"/>
      <c r="G19" s="9" t="str">
        <f>IF(D19=23,"Так","Ні")</f>
        <v>Ні</v>
      </c>
      <c r="H19" s="9" t="str">
        <f>IF(E19=131,"Так","Ні")</f>
        <v>Ні</v>
      </c>
      <c r="I19" s="9" t="str">
        <f>IF(F19=500,"Так","Ні")</f>
        <v>Ні</v>
      </c>
      <c r="K19" s="77"/>
      <c r="L19" s="77"/>
      <c r="M19" s="75"/>
      <c r="N19" s="76"/>
    </row>
    <row r="20" spans="1:14" ht="19.5" customHeight="1" x14ac:dyDescent="0.2">
      <c r="A20" s="8"/>
      <c r="B20" s="49">
        <v>14</v>
      </c>
      <c r="C20" s="31" t="s">
        <v>101</v>
      </c>
      <c r="D20" s="85"/>
      <c r="E20" s="85"/>
      <c r="F20" s="86"/>
      <c r="G20" s="9" t="str">
        <f>IF(D20=903,"Так","Ні")</f>
        <v>Ні</v>
      </c>
      <c r="H20" s="9" t="str">
        <f>IF(E20=23,"Так","Ні")</f>
        <v>Ні</v>
      </c>
      <c r="I20" s="9" t="str">
        <f>IF(F20=6500,"Так","Ні")</f>
        <v>Ні</v>
      </c>
      <c r="K20" s="77"/>
      <c r="L20" s="77"/>
      <c r="M20" s="75"/>
      <c r="N20" s="76"/>
    </row>
    <row r="21" spans="1:14" ht="12.75" x14ac:dyDescent="0.2">
      <c r="B21" s="105">
        <v>15</v>
      </c>
      <c r="C21" s="31" t="s">
        <v>47</v>
      </c>
      <c r="D21" s="109"/>
      <c r="E21" s="109"/>
      <c r="F21" s="109"/>
      <c r="G21" s="109"/>
      <c r="H21" s="109"/>
      <c r="I21" s="110"/>
      <c r="K21" s="35" t="s">
        <v>64</v>
      </c>
      <c r="L21" s="11">
        <f>SUM(L16:L20)</f>
        <v>0</v>
      </c>
      <c r="M21" s="35" t="s">
        <v>64</v>
      </c>
      <c r="N21" s="11">
        <f>SUM(N16:N20)</f>
        <v>0</v>
      </c>
    </row>
    <row r="22" spans="1:14" ht="16.5" customHeight="1" x14ac:dyDescent="0.2">
      <c r="B22" s="108"/>
      <c r="C22" s="31" t="s">
        <v>102</v>
      </c>
      <c r="D22" s="85"/>
      <c r="E22" s="85"/>
      <c r="F22" s="86"/>
      <c r="G22" s="9" t="str">
        <f>IF(D22=703,"Так","Ні")</f>
        <v>Ні</v>
      </c>
      <c r="H22" s="9" t="str">
        <f>IF(E22=791,"Так","Ні")</f>
        <v>Ні</v>
      </c>
      <c r="I22" s="9" t="str">
        <f>IF(F22=10000,"Так","Ні")</f>
        <v>Ні</v>
      </c>
      <c r="K22" s="36" t="s">
        <v>55</v>
      </c>
      <c r="L22" s="14" t="str">
        <f>IF(L21=21000,"Так","Ні")</f>
        <v>Ні</v>
      </c>
      <c r="M22" s="36" t="s">
        <v>55</v>
      </c>
      <c r="N22" s="14" t="str">
        <f>IF(N21=21000,"Так","Ні")</f>
        <v>Ні</v>
      </c>
    </row>
    <row r="23" spans="1:14" ht="15.75" customHeight="1" x14ac:dyDescent="0.2">
      <c r="B23" s="108"/>
      <c r="C23" s="31" t="s">
        <v>103</v>
      </c>
      <c r="D23" s="85"/>
      <c r="E23" s="85"/>
      <c r="F23" s="86"/>
      <c r="G23" s="9" t="str">
        <f>IF(D23=791,"Так","Ні")</f>
        <v>Ні</v>
      </c>
      <c r="H23" s="9" t="str">
        <f>IF(E23=903,"Так","Ні")</f>
        <v>Ні</v>
      </c>
      <c r="I23" s="9" t="str">
        <f>IF(F23=6500,"Так","Ні")</f>
        <v>Ні</v>
      </c>
      <c r="K23" s="15" t="s">
        <v>81</v>
      </c>
    </row>
    <row r="24" spans="1:14" ht="18" customHeight="1" x14ac:dyDescent="0.2">
      <c r="B24" s="108"/>
      <c r="C24" s="31" t="s">
        <v>50</v>
      </c>
      <c r="D24" s="85"/>
      <c r="E24" s="85"/>
      <c r="F24" s="86"/>
      <c r="G24" s="9" t="str">
        <f>IF(D24=791,"Так","Ні")</f>
        <v>Ні</v>
      </c>
      <c r="H24" s="9" t="str">
        <f>IF(E24=92,"Так","Ні")</f>
        <v>Ні</v>
      </c>
      <c r="I24" s="9" t="str">
        <f>IF(F24=1500,"Так","Ні")</f>
        <v>Ні</v>
      </c>
      <c r="K24" s="97" t="s">
        <v>8</v>
      </c>
      <c r="L24" s="98"/>
      <c r="M24" s="98"/>
      <c r="N24" s="98"/>
    </row>
    <row r="25" spans="1:14" ht="17.25" customHeight="1" x14ac:dyDescent="0.2">
      <c r="B25" s="108"/>
      <c r="C25" s="31" t="s">
        <v>237</v>
      </c>
      <c r="D25" s="85"/>
      <c r="E25" s="85"/>
      <c r="F25" s="86"/>
      <c r="G25" s="9" t="str">
        <f>IF(D25=791,"Так","Ні")</f>
        <v>Ні</v>
      </c>
      <c r="H25" s="9" t="str">
        <f>IF(E25=951,"Так","Ні")</f>
        <v>Ні</v>
      </c>
      <c r="I25" s="9" t="str">
        <f>IF(F25=500,"Так","Ні")</f>
        <v>Ні</v>
      </c>
      <c r="K25" s="101" t="s">
        <v>1</v>
      </c>
      <c r="L25" s="102"/>
      <c r="M25" s="101" t="s">
        <v>65</v>
      </c>
      <c r="N25" s="102"/>
    </row>
    <row r="26" spans="1:14" ht="25.5" x14ac:dyDescent="0.2">
      <c r="B26" s="106"/>
      <c r="C26" s="31" t="s">
        <v>52</v>
      </c>
      <c r="D26" s="85"/>
      <c r="E26" s="85"/>
      <c r="F26" s="86"/>
      <c r="G26" s="9" t="str">
        <f>IF(D26=791,"Так","Ні")</f>
        <v>Ні</v>
      </c>
      <c r="H26" s="9" t="str">
        <f>IF(E26=441,"Так","Ні")</f>
        <v>Ні</v>
      </c>
      <c r="I26" s="9" t="str">
        <f>IF(F26=1500,"Так","Ні")</f>
        <v>Ні</v>
      </c>
      <c r="K26" s="37" t="s">
        <v>66</v>
      </c>
      <c r="L26" s="38" t="s">
        <v>54</v>
      </c>
      <c r="M26" s="37" t="s">
        <v>66</v>
      </c>
      <c r="N26" s="38" t="s">
        <v>54</v>
      </c>
    </row>
    <row r="27" spans="1:14" ht="12.75" x14ac:dyDescent="0.2">
      <c r="K27" s="39" t="s">
        <v>67</v>
      </c>
      <c r="L27" s="40"/>
      <c r="M27" s="39" t="s">
        <v>68</v>
      </c>
      <c r="N27" s="41"/>
    </row>
    <row r="28" spans="1:14" ht="12.75" x14ac:dyDescent="0.2">
      <c r="K28" s="39" t="s">
        <v>69</v>
      </c>
      <c r="L28" s="74"/>
      <c r="M28" s="39" t="s">
        <v>80</v>
      </c>
      <c r="N28" s="76"/>
    </row>
    <row r="29" spans="1:14" ht="12.75" x14ac:dyDescent="0.2">
      <c r="K29" s="42" t="s">
        <v>70</v>
      </c>
      <c r="L29" s="74"/>
      <c r="M29" s="39" t="s">
        <v>71</v>
      </c>
      <c r="N29" s="76"/>
    </row>
    <row r="30" spans="1:14" ht="12.75" x14ac:dyDescent="0.2">
      <c r="K30" s="42" t="s">
        <v>72</v>
      </c>
      <c r="L30" s="74"/>
      <c r="M30" s="43" t="s">
        <v>73</v>
      </c>
      <c r="N30" s="76"/>
    </row>
    <row r="31" spans="1:14" ht="12.75" x14ac:dyDescent="0.2">
      <c r="C31" s="103" t="s">
        <v>198</v>
      </c>
      <c r="D31" s="103"/>
      <c r="E31" s="61" t="s">
        <v>199</v>
      </c>
      <c r="F31" s="62"/>
      <c r="G31" s="62"/>
      <c r="H31" s="62"/>
      <c r="I31" s="63" t="s">
        <v>197</v>
      </c>
      <c r="K31" s="42" t="s">
        <v>74</v>
      </c>
      <c r="L31" s="74"/>
      <c r="M31" s="43" t="s">
        <v>75</v>
      </c>
      <c r="N31" s="76"/>
    </row>
    <row r="32" spans="1:14" ht="12.75" x14ac:dyDescent="0.2">
      <c r="C32" s="104" t="s">
        <v>200</v>
      </c>
      <c r="D32" s="104" t="s">
        <v>201</v>
      </c>
      <c r="E32" s="104"/>
      <c r="F32" s="104" t="s">
        <v>202</v>
      </c>
      <c r="G32" s="104"/>
      <c r="H32" s="104" t="s">
        <v>203</v>
      </c>
      <c r="I32" s="104"/>
      <c r="K32" s="42" t="s">
        <v>76</v>
      </c>
      <c r="L32" s="74"/>
      <c r="M32" s="43" t="s">
        <v>77</v>
      </c>
      <c r="N32" s="76"/>
    </row>
    <row r="33" spans="3:14" ht="12.75" x14ac:dyDescent="0.2">
      <c r="C33" s="104"/>
      <c r="D33" s="64" t="s">
        <v>12</v>
      </c>
      <c r="E33" s="64" t="s">
        <v>13</v>
      </c>
      <c r="F33" s="29" t="s">
        <v>12</v>
      </c>
      <c r="G33" s="29" t="s">
        <v>13</v>
      </c>
      <c r="H33" s="29" t="s">
        <v>12</v>
      </c>
      <c r="I33" s="29" t="s">
        <v>13</v>
      </c>
      <c r="K33" s="42" t="s">
        <v>78</v>
      </c>
      <c r="L33" s="74"/>
      <c r="M33" s="43" t="s">
        <v>79</v>
      </c>
      <c r="N33" s="41"/>
    </row>
    <row r="34" spans="3:14" ht="12.75" x14ac:dyDescent="0.2">
      <c r="C34" s="65" t="s">
        <v>222</v>
      </c>
      <c r="D34" s="66">
        <v>0</v>
      </c>
      <c r="E34" s="66">
        <v>0</v>
      </c>
      <c r="F34" s="66">
        <f>F15</f>
        <v>0</v>
      </c>
      <c r="G34" s="66">
        <v>0</v>
      </c>
      <c r="H34" s="66">
        <f t="shared" ref="H34:H37" si="0">IF(D34+F34&gt;E34+G34,D34-E34+F34-G34,0)</f>
        <v>0</v>
      </c>
      <c r="I34" s="66">
        <f t="shared" ref="I34:I37" si="1">IF(D34+F34&lt;E34+G34,E34-D34+G34-F34,0)</f>
        <v>0</v>
      </c>
      <c r="K34" s="44" t="s">
        <v>64</v>
      </c>
      <c r="L34" s="45">
        <f>SUM(L27:L33)</f>
        <v>0</v>
      </c>
      <c r="M34" s="46" t="s">
        <v>64</v>
      </c>
      <c r="N34" s="47">
        <f>SUM(N27:N33)</f>
        <v>0</v>
      </c>
    </row>
    <row r="35" spans="3:14" ht="15" customHeight="1" x14ac:dyDescent="0.2">
      <c r="C35" s="65" t="s">
        <v>223</v>
      </c>
      <c r="D35" s="66">
        <v>0</v>
      </c>
      <c r="E35" s="66">
        <v>0</v>
      </c>
      <c r="F35" s="66">
        <v>0</v>
      </c>
      <c r="G35" s="66">
        <f>F19</f>
        <v>0</v>
      </c>
      <c r="H35" s="66">
        <f t="shared" si="0"/>
        <v>0</v>
      </c>
      <c r="I35" s="66">
        <f t="shared" si="1"/>
        <v>0</v>
      </c>
      <c r="K35" s="36" t="s">
        <v>55</v>
      </c>
      <c r="L35" s="14" t="str">
        <f>IF(L34=20500,"Так","Ні")</f>
        <v>Ні</v>
      </c>
      <c r="M35" s="36" t="s">
        <v>55</v>
      </c>
      <c r="N35" s="14" t="str">
        <f>IF(N34=20500,"Так","Ні")</f>
        <v>Ні</v>
      </c>
    </row>
    <row r="36" spans="3:14" ht="12.75" x14ac:dyDescent="0.2">
      <c r="C36" s="65" t="s">
        <v>224</v>
      </c>
      <c r="D36" s="66">
        <v>0</v>
      </c>
      <c r="E36" s="66">
        <v>0</v>
      </c>
      <c r="F36" s="66">
        <f>F14</f>
        <v>0</v>
      </c>
      <c r="G36" s="66">
        <f>F15</f>
        <v>0</v>
      </c>
      <c r="H36" s="66">
        <f t="shared" si="0"/>
        <v>0</v>
      </c>
      <c r="I36" s="66">
        <f t="shared" si="1"/>
        <v>0</v>
      </c>
      <c r="K36" s="15" t="s">
        <v>82</v>
      </c>
    </row>
    <row r="37" spans="3:14" ht="15.75" customHeight="1" x14ac:dyDescent="0.2">
      <c r="C37" s="65" t="s">
        <v>225</v>
      </c>
      <c r="D37" s="66">
        <v>0</v>
      </c>
      <c r="E37" s="66">
        <v>0</v>
      </c>
      <c r="F37" s="66">
        <f>F7</f>
        <v>0</v>
      </c>
      <c r="G37" s="66">
        <f>F12</f>
        <v>0</v>
      </c>
      <c r="H37" s="66">
        <f t="shared" si="0"/>
        <v>0</v>
      </c>
      <c r="I37" s="66">
        <f t="shared" si="1"/>
        <v>0</v>
      </c>
    </row>
    <row r="38" spans="3:14" ht="15.75" customHeight="1" x14ac:dyDescent="0.2">
      <c r="C38" s="65" t="s">
        <v>226</v>
      </c>
      <c r="D38" s="66">
        <v>0</v>
      </c>
      <c r="E38" s="66">
        <v>0</v>
      </c>
      <c r="F38" s="66">
        <f>F12+F18+F19</f>
        <v>0</v>
      </c>
      <c r="G38" s="66">
        <f>F20</f>
        <v>0</v>
      </c>
      <c r="H38" s="66">
        <f>IF(D38+F38&gt;E38+G38,D38-E38+F38-G38,0)</f>
        <v>0</v>
      </c>
      <c r="I38" s="66">
        <f>IF(D38+F38&lt;E38+G38,E38-D38+G38-F38,0)</f>
        <v>0</v>
      </c>
    </row>
    <row r="39" spans="3:14" ht="15.75" customHeight="1" x14ac:dyDescent="0.2">
      <c r="C39" s="65" t="s">
        <v>206</v>
      </c>
      <c r="D39" s="66">
        <v>0</v>
      </c>
      <c r="E39" s="66">
        <v>0</v>
      </c>
      <c r="F39" s="66">
        <f>F10</f>
        <v>0</v>
      </c>
      <c r="G39" s="66">
        <f>F11</f>
        <v>0</v>
      </c>
      <c r="H39" s="66">
        <f t="shared" ref="H39:H51" si="2">IF(D39+F39&gt;E39+G39,D39-E39+F39-G39,0)</f>
        <v>0</v>
      </c>
      <c r="I39" s="66">
        <f t="shared" ref="I39:I51" si="3">IF(D39+F39&lt;E39+G39,E39-D39+G39-F39,0)</f>
        <v>0</v>
      </c>
    </row>
    <row r="40" spans="3:14" ht="15.75" customHeight="1" x14ac:dyDescent="0.2">
      <c r="C40" s="65" t="s">
        <v>207</v>
      </c>
      <c r="D40" s="66">
        <v>0</v>
      </c>
      <c r="E40" s="66">
        <v>0</v>
      </c>
      <c r="F40" s="66">
        <f>F6+F11</f>
        <v>0</v>
      </c>
      <c r="G40" s="66">
        <f>F8+F13</f>
        <v>0</v>
      </c>
      <c r="H40" s="66">
        <f t="shared" si="2"/>
        <v>0</v>
      </c>
      <c r="I40" s="66">
        <f t="shared" si="3"/>
        <v>0</v>
      </c>
    </row>
    <row r="41" spans="3:14" ht="15.75" customHeight="1" x14ac:dyDescent="0.2">
      <c r="C41" s="65" t="s">
        <v>208</v>
      </c>
      <c r="D41" s="66">
        <v>0</v>
      </c>
      <c r="E41" s="66">
        <v>0</v>
      </c>
      <c r="F41" s="66">
        <f>F9</f>
        <v>0</v>
      </c>
      <c r="G41" s="66">
        <f>F10</f>
        <v>0</v>
      </c>
      <c r="H41" s="66">
        <f t="shared" si="2"/>
        <v>0</v>
      </c>
      <c r="I41" s="66">
        <f t="shared" si="3"/>
        <v>0</v>
      </c>
    </row>
    <row r="42" spans="3:14" ht="15.75" customHeight="1" x14ac:dyDescent="0.2">
      <c r="C42" s="65" t="s">
        <v>211</v>
      </c>
      <c r="D42" s="66">
        <v>0</v>
      </c>
      <c r="E42" s="66">
        <v>0</v>
      </c>
      <c r="F42" s="66">
        <v>0</v>
      </c>
      <c r="G42" s="66">
        <f>F26</f>
        <v>0</v>
      </c>
      <c r="H42" s="66">
        <f t="shared" si="2"/>
        <v>0</v>
      </c>
      <c r="I42" s="66">
        <f t="shared" si="3"/>
        <v>0</v>
      </c>
    </row>
    <row r="43" spans="3:14" ht="15.75" customHeight="1" x14ac:dyDescent="0.2">
      <c r="C43" s="65" t="s">
        <v>227</v>
      </c>
      <c r="D43" s="66">
        <v>0</v>
      </c>
      <c r="E43" s="66">
        <v>0</v>
      </c>
      <c r="F43" s="66">
        <v>0</v>
      </c>
      <c r="G43" s="66">
        <f>F6</f>
        <v>0</v>
      </c>
      <c r="H43" s="66">
        <f t="shared" si="2"/>
        <v>0</v>
      </c>
      <c r="I43" s="66">
        <f t="shared" si="3"/>
        <v>0</v>
      </c>
    </row>
    <row r="44" spans="3:14" ht="15.75" customHeight="1" x14ac:dyDescent="0.2">
      <c r="C44" s="65" t="s">
        <v>213</v>
      </c>
      <c r="D44" s="66">
        <v>0</v>
      </c>
      <c r="E44" s="66">
        <v>0</v>
      </c>
      <c r="F44" s="66">
        <f>F8+F13</f>
        <v>0</v>
      </c>
      <c r="G44" s="66">
        <f>F7+F14</f>
        <v>0</v>
      </c>
      <c r="H44" s="66">
        <f t="shared" si="2"/>
        <v>0</v>
      </c>
      <c r="I44" s="66">
        <f t="shared" si="3"/>
        <v>0</v>
      </c>
    </row>
    <row r="45" spans="3:14" ht="15.75" customHeight="1" x14ac:dyDescent="0.2">
      <c r="C45" s="65" t="s">
        <v>215</v>
      </c>
      <c r="D45" s="66">
        <v>0</v>
      </c>
      <c r="E45" s="66">
        <v>0</v>
      </c>
      <c r="F45" s="66">
        <v>0</v>
      </c>
      <c r="G45" s="66">
        <f>F17+F18</f>
        <v>0</v>
      </c>
      <c r="H45" s="66">
        <f t="shared" si="2"/>
        <v>0</v>
      </c>
      <c r="I45" s="66">
        <f t="shared" si="3"/>
        <v>0</v>
      </c>
    </row>
    <row r="46" spans="3:14" ht="15.75" customHeight="1" x14ac:dyDescent="0.2">
      <c r="C46" s="65" t="s">
        <v>228</v>
      </c>
      <c r="D46" s="66">
        <v>0</v>
      </c>
      <c r="E46" s="66">
        <v>0</v>
      </c>
      <c r="F46" s="66">
        <v>0</v>
      </c>
      <c r="G46" s="66">
        <f>F16</f>
        <v>0</v>
      </c>
      <c r="H46" s="66">
        <f t="shared" si="2"/>
        <v>0</v>
      </c>
      <c r="I46" s="66">
        <f t="shared" si="3"/>
        <v>0</v>
      </c>
    </row>
    <row r="47" spans="3:14" ht="15.75" customHeight="1" x14ac:dyDescent="0.2">
      <c r="C47" s="65" t="s">
        <v>221</v>
      </c>
      <c r="D47" s="66">
        <v>0</v>
      </c>
      <c r="E47" s="66">
        <v>0</v>
      </c>
      <c r="F47" s="66">
        <f>F23+F24+F25+F26</f>
        <v>0</v>
      </c>
      <c r="G47" s="66">
        <f>F22</f>
        <v>0</v>
      </c>
      <c r="H47" s="66">
        <f t="shared" si="2"/>
        <v>0</v>
      </c>
      <c r="I47" s="66">
        <f t="shared" si="3"/>
        <v>0</v>
      </c>
    </row>
    <row r="48" spans="3:14" ht="15.75" customHeight="1" x14ac:dyDescent="0.2">
      <c r="C48" s="65" t="s">
        <v>230</v>
      </c>
      <c r="D48" s="66">
        <v>0</v>
      </c>
      <c r="E48" s="66">
        <v>0</v>
      </c>
      <c r="F48" s="66">
        <f>F22</f>
        <v>0</v>
      </c>
      <c r="G48" s="66">
        <f>F9</f>
        <v>0</v>
      </c>
      <c r="H48" s="66">
        <f t="shared" si="2"/>
        <v>0</v>
      </c>
      <c r="I48" s="66">
        <f t="shared" si="3"/>
        <v>0</v>
      </c>
    </row>
    <row r="49" spans="3:9" ht="15.75" customHeight="1" x14ac:dyDescent="0.2">
      <c r="C49" s="65" t="s">
        <v>231</v>
      </c>
      <c r="D49" s="66">
        <v>0</v>
      </c>
      <c r="E49" s="66">
        <v>0</v>
      </c>
      <c r="F49" s="66">
        <f>F20</f>
        <v>0</v>
      </c>
      <c r="G49" s="66">
        <f>F23</f>
        <v>0</v>
      </c>
      <c r="H49" s="66">
        <f t="shared" si="2"/>
        <v>0</v>
      </c>
      <c r="I49" s="66">
        <f t="shared" si="3"/>
        <v>0</v>
      </c>
    </row>
    <row r="50" spans="3:9" ht="15.75" customHeight="1" x14ac:dyDescent="0.2">
      <c r="C50" s="65" t="s">
        <v>218</v>
      </c>
      <c r="D50" s="66">
        <v>0</v>
      </c>
      <c r="E50" s="66">
        <v>0</v>
      </c>
      <c r="F50" s="66">
        <f>F17</f>
        <v>0</v>
      </c>
      <c r="G50" s="66">
        <f>F24</f>
        <v>0</v>
      </c>
      <c r="H50" s="66">
        <f t="shared" si="2"/>
        <v>0</v>
      </c>
      <c r="I50" s="66">
        <f t="shared" si="3"/>
        <v>0</v>
      </c>
    </row>
    <row r="51" spans="3:9" ht="15.75" customHeight="1" x14ac:dyDescent="0.2">
      <c r="C51" s="65" t="s">
        <v>229</v>
      </c>
      <c r="D51" s="66">
        <v>0</v>
      </c>
      <c r="E51" s="66">
        <v>0</v>
      </c>
      <c r="F51" s="66">
        <f>F16</f>
        <v>0</v>
      </c>
      <c r="G51" s="66">
        <f>F25</f>
        <v>0</v>
      </c>
      <c r="H51" s="66">
        <f t="shared" si="2"/>
        <v>0</v>
      </c>
      <c r="I51" s="66">
        <f t="shared" si="3"/>
        <v>0</v>
      </c>
    </row>
    <row r="52" spans="3:9" ht="15.75" customHeight="1" x14ac:dyDescent="0.2">
      <c r="C52" s="67" t="s">
        <v>64</v>
      </c>
      <c r="D52" s="68">
        <f>SUM(D34:D51)</f>
        <v>0</v>
      </c>
      <c r="E52" s="68">
        <f t="shared" ref="E52:I52" si="4">SUM(E34:E51)</f>
        <v>0</v>
      </c>
      <c r="F52" s="68">
        <f t="shared" si="4"/>
        <v>0</v>
      </c>
      <c r="G52" s="68">
        <f t="shared" si="4"/>
        <v>0</v>
      </c>
      <c r="H52" s="68">
        <f t="shared" si="4"/>
        <v>0</v>
      </c>
      <c r="I52" s="68">
        <f t="shared" si="4"/>
        <v>0</v>
      </c>
    </row>
  </sheetData>
  <sheetProtection algorithmName="SHA-512" hashValue="qdNScotBW2ENkE+GXt5KMK4aKhK/bU/ZwIqJrGvSZqA21Dw14AntXezAGWsGXNUsraYHIC5Ie1omoEEECWv2/Q==" saltValue="JePjt/Wsp+K0h3FNAL2NrA==" spinCount="100000" sheet="1" formatCells="0"/>
  <mergeCells count="19">
    <mergeCell ref="C31:D31"/>
    <mergeCell ref="C32:C33"/>
    <mergeCell ref="D32:E32"/>
    <mergeCell ref="F32:G32"/>
    <mergeCell ref="H32:I32"/>
    <mergeCell ref="B21:B26"/>
    <mergeCell ref="D21:I21"/>
    <mergeCell ref="K13:N13"/>
    <mergeCell ref="K14:L14"/>
    <mergeCell ref="M14:N14"/>
    <mergeCell ref="K24:N24"/>
    <mergeCell ref="K25:L25"/>
    <mergeCell ref="M25:N25"/>
    <mergeCell ref="G4:I4"/>
    <mergeCell ref="K4:N4"/>
    <mergeCell ref="K5:L5"/>
    <mergeCell ref="M5:N5"/>
    <mergeCell ref="B17:B18"/>
    <mergeCell ref="C17:C1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1"/>
  <sheetViews>
    <sheetView showGridLines="0" showRowColHeaders="0" zoomScaleNormal="100" workbookViewId="0"/>
  </sheetViews>
  <sheetFormatPr defaultColWidth="14.42578125" defaultRowHeight="15.75" customHeight="1" x14ac:dyDescent="0.2"/>
  <cols>
    <col min="1" max="1" width="1.42578125" style="7" customWidth="1"/>
    <col min="2" max="2" width="2.85546875" style="7" customWidth="1"/>
    <col min="3" max="3" width="44.28515625" style="7" customWidth="1"/>
    <col min="4" max="4" width="9" style="7" customWidth="1"/>
    <col min="5" max="5" width="8.85546875" style="7" customWidth="1"/>
    <col min="6" max="6" width="9.28515625" style="7" customWidth="1"/>
    <col min="7" max="7" width="9.140625" style="7" customWidth="1"/>
    <col min="8" max="8" width="8.140625" style="7" customWidth="1"/>
    <col min="9" max="9" width="8" style="7" customWidth="1"/>
    <col min="10" max="10" width="2.5703125" style="7" customWidth="1"/>
    <col min="11" max="11" width="29.7109375" style="7" customWidth="1"/>
    <col min="12" max="12" width="11.85546875" style="7" customWidth="1"/>
    <col min="13" max="13" width="27.7109375" style="7" customWidth="1"/>
    <col min="14" max="14" width="13.140625" style="7" customWidth="1"/>
    <col min="15" max="16384" width="14.42578125" style="7"/>
  </cols>
  <sheetData>
    <row r="1" spans="1:14" ht="22.5" customHeight="1" x14ac:dyDescent="0.25">
      <c r="A1" s="1"/>
      <c r="B1" s="2" t="s">
        <v>104</v>
      </c>
      <c r="C1" s="1"/>
      <c r="D1" s="48" t="s">
        <v>83</v>
      </c>
      <c r="F1" s="1"/>
    </row>
    <row r="2" spans="1:14" ht="12.75" customHeight="1" x14ac:dyDescent="0.2">
      <c r="A2" s="1"/>
      <c r="B2" s="1"/>
      <c r="C2" s="1"/>
      <c r="D2" s="48" t="s">
        <v>87</v>
      </c>
      <c r="E2" s="1"/>
      <c r="F2" s="1"/>
      <c r="G2" s="3"/>
      <c r="H2" s="3"/>
      <c r="I2" s="3"/>
      <c r="K2" s="6"/>
      <c r="L2" s="6"/>
      <c r="M2" s="6"/>
      <c r="N2" s="6"/>
    </row>
    <row r="3" spans="1:14" ht="8.25" customHeight="1" x14ac:dyDescent="0.2">
      <c r="A3" s="1"/>
      <c r="B3" s="1"/>
      <c r="C3" s="1"/>
      <c r="D3" s="1"/>
      <c r="E3" s="1"/>
      <c r="F3" s="1"/>
      <c r="G3" s="3"/>
      <c r="H3" s="3"/>
      <c r="I3" s="3"/>
      <c r="K3" s="6"/>
      <c r="L3" s="6"/>
      <c r="M3" s="6"/>
      <c r="N3" s="6"/>
    </row>
    <row r="4" spans="1:14" ht="18.75" customHeight="1" x14ac:dyDescent="0.2">
      <c r="A4" s="1"/>
      <c r="B4" s="4" t="s">
        <v>85</v>
      </c>
      <c r="D4" s="5"/>
      <c r="E4" s="5"/>
      <c r="F4" s="5"/>
      <c r="G4" s="92" t="s">
        <v>55</v>
      </c>
      <c r="H4" s="93"/>
      <c r="I4" s="94"/>
      <c r="K4" s="97" t="s">
        <v>56</v>
      </c>
      <c r="L4" s="98"/>
      <c r="M4" s="98"/>
      <c r="N4" s="98"/>
    </row>
    <row r="5" spans="1:14" ht="18" customHeight="1" x14ac:dyDescent="0.2">
      <c r="A5" s="1"/>
      <c r="B5" s="29" t="s">
        <v>0</v>
      </c>
      <c r="C5" s="51" t="s">
        <v>53</v>
      </c>
      <c r="D5" s="51" t="s">
        <v>2</v>
      </c>
      <c r="E5" s="29" t="s">
        <v>3</v>
      </c>
      <c r="F5" s="29" t="s">
        <v>54</v>
      </c>
      <c r="G5" s="30" t="s">
        <v>2</v>
      </c>
      <c r="H5" s="30" t="s">
        <v>3</v>
      </c>
      <c r="I5" s="30" t="s">
        <v>54</v>
      </c>
      <c r="K5" s="95" t="s">
        <v>2</v>
      </c>
      <c r="L5" s="96"/>
      <c r="M5" s="95" t="s">
        <v>3</v>
      </c>
      <c r="N5" s="96"/>
    </row>
    <row r="6" spans="1:14" ht="27.75" customHeight="1" x14ac:dyDescent="0.2">
      <c r="A6" s="8"/>
      <c r="B6" s="49">
        <v>1</v>
      </c>
      <c r="C6" s="31" t="s">
        <v>105</v>
      </c>
      <c r="D6" s="85"/>
      <c r="E6" s="85"/>
      <c r="F6" s="86"/>
      <c r="G6" s="9" t="str">
        <f>IF(D6=311,"Так","Ні")</f>
        <v>Ні</v>
      </c>
      <c r="H6" s="9" t="str">
        <f>IF(E6=361,"Так","Ні")</f>
        <v>Ні</v>
      </c>
      <c r="I6" s="9" t="str">
        <f>IF(F6=4000,"Так","Ні")</f>
        <v>Ні</v>
      </c>
      <c r="J6" s="10"/>
      <c r="K6" s="34" t="s">
        <v>57</v>
      </c>
      <c r="L6" s="34" t="s">
        <v>54</v>
      </c>
      <c r="M6" s="34" t="s">
        <v>57</v>
      </c>
      <c r="N6" s="34" t="s">
        <v>54</v>
      </c>
    </row>
    <row r="7" spans="1:14" ht="27.75" customHeight="1" x14ac:dyDescent="0.2">
      <c r="A7" s="8"/>
      <c r="B7" s="49">
        <v>2</v>
      </c>
      <c r="C7" s="31" t="s">
        <v>106</v>
      </c>
      <c r="D7" s="85"/>
      <c r="E7" s="85"/>
      <c r="F7" s="86"/>
      <c r="G7" s="9" t="str">
        <f>IF(D7=281,"Так","Ні")</f>
        <v>Ні</v>
      </c>
      <c r="H7" s="9" t="str">
        <f>IF(E7=631,"Так","Ні")</f>
        <v>Ні</v>
      </c>
      <c r="I7" s="9" t="str">
        <f>IF(F7=2500,"Так","Ні")</f>
        <v>Ні</v>
      </c>
      <c r="K7" s="35" t="s">
        <v>58</v>
      </c>
      <c r="L7" s="11">
        <v>0</v>
      </c>
      <c r="M7" s="35" t="s">
        <v>58</v>
      </c>
      <c r="N7" s="12" t="s">
        <v>4</v>
      </c>
    </row>
    <row r="8" spans="1:14" ht="35.25" customHeight="1" x14ac:dyDescent="0.2">
      <c r="A8" s="8"/>
      <c r="B8" s="111">
        <v>3</v>
      </c>
      <c r="C8" s="113" t="s">
        <v>107</v>
      </c>
      <c r="D8" s="85"/>
      <c r="E8" s="85"/>
      <c r="F8" s="86"/>
      <c r="G8" s="9" t="str">
        <f>IF(D8=361,"Так","Ні")</f>
        <v>Ні</v>
      </c>
      <c r="H8" s="9" t="str">
        <f>IF(E8=702,"Так","Ні")</f>
        <v>Ні</v>
      </c>
      <c r="I8" s="9" t="str">
        <f>IF(F8=4000,"Так","Ні")</f>
        <v>Ні</v>
      </c>
      <c r="K8" s="75"/>
      <c r="L8" s="76"/>
      <c r="M8" s="75"/>
      <c r="N8" s="76"/>
    </row>
    <row r="9" spans="1:14" ht="21" customHeight="1" x14ac:dyDescent="0.2">
      <c r="A9" s="8"/>
      <c r="B9" s="112"/>
      <c r="C9" s="113"/>
      <c r="D9" s="85"/>
      <c r="E9" s="85"/>
      <c r="F9" s="86"/>
      <c r="G9" s="9" t="str">
        <f>IF(D9=902,"Так","Ні")</f>
        <v>Ні</v>
      </c>
      <c r="H9" s="9" t="str">
        <f>IF(E9=281,"Так","Ні")</f>
        <v>Ні</v>
      </c>
      <c r="I9" s="9" t="str">
        <f>IF(F9=2500,"Так","Ні")</f>
        <v>Ні</v>
      </c>
      <c r="K9" s="75"/>
      <c r="L9" s="76"/>
      <c r="M9" s="75"/>
      <c r="N9" s="76"/>
    </row>
    <row r="10" spans="1:14" ht="28.5" customHeight="1" x14ac:dyDescent="0.2">
      <c r="A10" s="8"/>
      <c r="B10" s="49">
        <v>4</v>
      </c>
      <c r="C10" s="31" t="s">
        <v>238</v>
      </c>
      <c r="D10" s="85"/>
      <c r="E10" s="85"/>
      <c r="F10" s="86"/>
      <c r="G10" s="9" t="str">
        <f>IF(D10=631,"Так","Ні")</f>
        <v>Ні</v>
      </c>
      <c r="H10" s="9" t="str">
        <f>IF(E10=311,"Так","Ні")</f>
        <v>Ні</v>
      </c>
      <c r="I10" s="9" t="str">
        <f>IF(F10=2500,"Так","Ні")</f>
        <v>Ні</v>
      </c>
      <c r="K10" s="75"/>
      <c r="L10" s="76"/>
      <c r="M10" s="75"/>
      <c r="N10" s="76"/>
    </row>
    <row r="11" spans="1:14" ht="27.75" customHeight="1" x14ac:dyDescent="0.2">
      <c r="A11" s="8"/>
      <c r="B11" s="49">
        <v>5</v>
      </c>
      <c r="C11" s="31" t="s">
        <v>108</v>
      </c>
      <c r="D11" s="85"/>
      <c r="E11" s="85"/>
      <c r="F11" s="86"/>
      <c r="G11" s="9" t="str">
        <f>IF(D11=201,"Так","Ні")</f>
        <v>Ні</v>
      </c>
      <c r="H11" s="9" t="str">
        <f>IF(E11=372,"Так","Ні")</f>
        <v>Ні</v>
      </c>
      <c r="I11" s="9" t="str">
        <f>IF(F11=300,"Так","Ні")</f>
        <v>Ні</v>
      </c>
      <c r="K11" s="11" t="s">
        <v>5</v>
      </c>
      <c r="L11" s="13">
        <f>SUM(L8:L10)</f>
        <v>0</v>
      </c>
      <c r="M11" s="11" t="s">
        <v>5</v>
      </c>
      <c r="N11" s="13">
        <f>SUM(N8:N10)</f>
        <v>0</v>
      </c>
    </row>
    <row r="12" spans="1:14" ht="19.5" customHeight="1" x14ac:dyDescent="0.2">
      <c r="A12" s="8"/>
      <c r="B12" s="49">
        <v>6</v>
      </c>
      <c r="C12" s="31" t="s">
        <v>109</v>
      </c>
      <c r="D12" s="85"/>
      <c r="E12" s="85"/>
      <c r="F12" s="86"/>
      <c r="G12" s="9" t="str">
        <f>IF(D12=301,"Так","Ні")</f>
        <v>Ні</v>
      </c>
      <c r="H12" s="9" t="str">
        <f>IF(E12=311,"Так","Ні")</f>
        <v>Ні</v>
      </c>
      <c r="I12" s="9" t="str">
        <f>IF(F12=300,"Так","Ні")</f>
        <v>Ні</v>
      </c>
      <c r="K12" s="35" t="s">
        <v>59</v>
      </c>
      <c r="L12" s="13">
        <f>L7+L11-N11</f>
        <v>0</v>
      </c>
      <c r="M12" s="35" t="s">
        <v>59</v>
      </c>
      <c r="N12" s="12" t="s">
        <v>4</v>
      </c>
    </row>
    <row r="13" spans="1:14" ht="30" customHeight="1" x14ac:dyDescent="0.2">
      <c r="A13" s="8"/>
      <c r="B13" s="49">
        <v>7</v>
      </c>
      <c r="C13" s="31" t="s">
        <v>110</v>
      </c>
      <c r="D13" s="85"/>
      <c r="E13" s="85"/>
      <c r="F13" s="86"/>
      <c r="G13" s="9" t="str">
        <f>IF(D13=372,"Так","Ні")</f>
        <v>Ні</v>
      </c>
      <c r="H13" s="9" t="str">
        <f>IF(E13=301,"Так","Ні")</f>
        <v>Ні</v>
      </c>
      <c r="I13" s="9" t="str">
        <f>IF(F13=300,"Так","Ні")</f>
        <v>Ні</v>
      </c>
      <c r="K13" s="36" t="s">
        <v>55</v>
      </c>
      <c r="L13" s="14" t="str">
        <f>IF(L12=300,"Так","Ні")</f>
        <v>Ні</v>
      </c>
      <c r="M13" s="15" t="s">
        <v>61</v>
      </c>
      <c r="N13" s="16"/>
    </row>
    <row r="14" spans="1:14" ht="28.5" customHeight="1" x14ac:dyDescent="0.2">
      <c r="A14" s="8"/>
      <c r="B14" s="49">
        <v>8</v>
      </c>
      <c r="C14" s="31" t="s">
        <v>111</v>
      </c>
      <c r="D14" s="85"/>
      <c r="E14" s="85"/>
      <c r="F14" s="86"/>
      <c r="G14" s="9" t="str">
        <f>IF(D14=92,"Так","Ні")</f>
        <v>Ні</v>
      </c>
      <c r="H14" s="9" t="str">
        <f>IF(E14=201,"Так","Ні")</f>
        <v>Ні</v>
      </c>
      <c r="I14" s="9" t="str">
        <f>IF(F14=200,"Так","Ні")</f>
        <v>Ні</v>
      </c>
      <c r="K14" s="97" t="s">
        <v>62</v>
      </c>
      <c r="L14" s="98"/>
      <c r="M14" s="98"/>
      <c r="N14" s="98"/>
    </row>
    <row r="15" spans="1:14" ht="28.5" customHeight="1" x14ac:dyDescent="0.2">
      <c r="A15" s="8"/>
      <c r="B15" s="49">
        <v>9</v>
      </c>
      <c r="C15" s="31" t="s">
        <v>112</v>
      </c>
      <c r="D15" s="85"/>
      <c r="E15" s="85"/>
      <c r="F15" s="86"/>
      <c r="G15" s="9" t="str">
        <f>IF(D15=631,"Так","Ні")</f>
        <v>Ні</v>
      </c>
      <c r="H15" s="9" t="str">
        <f>IF(E15=311,"Так","Ні")</f>
        <v>Ні</v>
      </c>
      <c r="I15" s="9" t="str">
        <f>IF(F15=900,"Так","Ні")</f>
        <v>Ні</v>
      </c>
      <c r="K15" s="95" t="s">
        <v>6</v>
      </c>
      <c r="L15" s="96"/>
      <c r="M15" s="95" t="s">
        <v>7</v>
      </c>
      <c r="N15" s="96"/>
    </row>
    <row r="16" spans="1:14" ht="39" customHeight="1" x14ac:dyDescent="0.2">
      <c r="A16" s="8"/>
      <c r="B16" s="49">
        <v>10</v>
      </c>
      <c r="C16" s="31" t="s">
        <v>113</v>
      </c>
      <c r="D16" s="85"/>
      <c r="E16" s="85"/>
      <c r="F16" s="86"/>
      <c r="G16" s="9" t="str">
        <f>IF(D16=154,"Так","Ні")</f>
        <v>Ні</v>
      </c>
      <c r="H16" s="9" t="str">
        <f>IF(E16=631,"Так","Ні")</f>
        <v>Ні</v>
      </c>
      <c r="I16" s="9" t="str">
        <f>IF(F16=900,"Так","Ні")</f>
        <v>Ні</v>
      </c>
      <c r="K16" s="34" t="s">
        <v>63</v>
      </c>
      <c r="L16" s="34" t="s">
        <v>54</v>
      </c>
      <c r="M16" s="34" t="s">
        <v>63</v>
      </c>
      <c r="N16" s="34" t="s">
        <v>54</v>
      </c>
    </row>
    <row r="17" spans="1:14" ht="20.25" customHeight="1" x14ac:dyDescent="0.2">
      <c r="A17" s="8"/>
      <c r="B17" s="49">
        <v>11</v>
      </c>
      <c r="C17" s="31" t="s">
        <v>114</v>
      </c>
      <c r="D17" s="85"/>
      <c r="E17" s="85"/>
      <c r="F17" s="86"/>
      <c r="G17" s="9" t="str">
        <f>IF(D17=127,"Так","Ні")</f>
        <v>Ні</v>
      </c>
      <c r="H17" s="9" t="str">
        <f>IF(E17=154,"Так","Ні")</f>
        <v>Ні</v>
      </c>
      <c r="I17" s="9" t="str">
        <f>IF(F17=900,"Так","Ні")</f>
        <v>Ні</v>
      </c>
      <c r="K17" s="75"/>
      <c r="L17" s="76"/>
      <c r="M17" s="75"/>
      <c r="N17" s="76"/>
    </row>
    <row r="18" spans="1:14" ht="27" customHeight="1" x14ac:dyDescent="0.2">
      <c r="A18" s="8"/>
      <c r="B18" s="49">
        <v>12</v>
      </c>
      <c r="C18" s="31" t="s">
        <v>115</v>
      </c>
      <c r="D18" s="85"/>
      <c r="E18" s="85"/>
      <c r="F18" s="86"/>
      <c r="G18" s="9" t="str">
        <f>IF(D18=92,"Так","Ні")</f>
        <v>Ні</v>
      </c>
      <c r="H18" s="9" t="str">
        <f>IF(E18=631,"Так","Ні")</f>
        <v>Ні</v>
      </c>
      <c r="I18" s="9" t="str">
        <f>IF(F18=200,"Так","Ні")</f>
        <v>Ні</v>
      </c>
      <c r="K18" s="75"/>
      <c r="L18" s="76"/>
      <c r="M18" s="75"/>
      <c r="N18" s="76"/>
    </row>
    <row r="19" spans="1:14" ht="27" customHeight="1" x14ac:dyDescent="0.2">
      <c r="A19" s="8"/>
      <c r="B19" s="49">
        <v>13</v>
      </c>
      <c r="C19" s="31" t="s">
        <v>116</v>
      </c>
      <c r="D19" s="85"/>
      <c r="E19" s="85"/>
      <c r="F19" s="86"/>
      <c r="G19" s="9" t="str">
        <f>IF(D19=93,"Так","Ні")</f>
        <v>Ні</v>
      </c>
      <c r="H19" s="9" t="str">
        <f>IF(E19=661,"Так","Ні")</f>
        <v>Ні</v>
      </c>
      <c r="I19" s="9" t="str">
        <f>IF(F19=1000,"Так","Ні")</f>
        <v>Ні</v>
      </c>
      <c r="K19" s="75"/>
      <c r="L19" s="76"/>
      <c r="M19" s="75"/>
      <c r="N19" s="76"/>
    </row>
    <row r="20" spans="1:14" ht="51.75" customHeight="1" x14ac:dyDescent="0.2">
      <c r="A20" s="8"/>
      <c r="B20" s="49">
        <v>14</v>
      </c>
      <c r="C20" s="31" t="s">
        <v>117</v>
      </c>
      <c r="D20" s="85"/>
      <c r="E20" s="85"/>
      <c r="F20" s="86"/>
      <c r="G20" s="9" t="str">
        <f>IF(D20=92,"Так","Ні")</f>
        <v>Ні</v>
      </c>
      <c r="H20" s="9" t="str">
        <f>IF(E20=133,"Так","Ні")</f>
        <v>Ні</v>
      </c>
      <c r="I20" s="9" t="str">
        <f>IF(F20=30,"Так","Ні")</f>
        <v>Ні</v>
      </c>
      <c r="K20" s="77"/>
      <c r="L20" s="77"/>
      <c r="M20" s="75"/>
      <c r="N20" s="76"/>
    </row>
    <row r="21" spans="1:14" ht="18.75" customHeight="1" x14ac:dyDescent="0.2">
      <c r="B21" s="105">
        <v>15</v>
      </c>
      <c r="C21" s="31" t="s">
        <v>47</v>
      </c>
      <c r="D21" s="109"/>
      <c r="E21" s="109"/>
      <c r="F21" s="109"/>
      <c r="G21" s="109"/>
      <c r="H21" s="109"/>
      <c r="I21" s="110"/>
      <c r="K21" s="35" t="s">
        <v>64</v>
      </c>
      <c r="L21" s="11">
        <f>SUM(L17:L20)</f>
        <v>0</v>
      </c>
      <c r="M21" s="35" t="s">
        <v>64</v>
      </c>
      <c r="N21" s="11">
        <f>SUM(N17:N20)</f>
        <v>0</v>
      </c>
    </row>
    <row r="22" spans="1:14" ht="16.5" customHeight="1" x14ac:dyDescent="0.2">
      <c r="B22" s="108"/>
      <c r="C22" s="31" t="s">
        <v>48</v>
      </c>
      <c r="D22" s="85"/>
      <c r="E22" s="85"/>
      <c r="F22" s="86"/>
      <c r="G22" s="9" t="str">
        <f>IF(D22=702,"Так","Ні")</f>
        <v>Ні</v>
      </c>
      <c r="H22" s="9" t="str">
        <f>IF(E22=791,"Так","Ні")</f>
        <v>Ні</v>
      </c>
      <c r="I22" s="9" t="str">
        <f>IF(F22=4000,"Так","Ні")</f>
        <v>Ні</v>
      </c>
      <c r="K22" s="36" t="s">
        <v>55</v>
      </c>
      <c r="L22" s="14" t="str">
        <f>IF(L21=1300,"Так","Ні")</f>
        <v>Ні</v>
      </c>
      <c r="M22" s="36" t="s">
        <v>55</v>
      </c>
      <c r="N22" s="14" t="str">
        <f>IF(N21=1300,"Так","Ні")</f>
        <v>Ні</v>
      </c>
    </row>
    <row r="23" spans="1:14" ht="15.75" customHeight="1" x14ac:dyDescent="0.2">
      <c r="B23" s="108"/>
      <c r="C23" s="31" t="s">
        <v>49</v>
      </c>
      <c r="D23" s="85"/>
      <c r="E23" s="85"/>
      <c r="F23" s="86"/>
      <c r="G23" s="9" t="str">
        <f>IF(D23=791,"Так","Ні")</f>
        <v>Ні</v>
      </c>
      <c r="H23" s="9" t="str">
        <f>IF(E23=902,"Так","Ні")</f>
        <v>Ні</v>
      </c>
      <c r="I23" s="9" t="str">
        <f>IF(F23=2500,"Так","Ні")</f>
        <v>Ні</v>
      </c>
      <c r="K23" s="15" t="s">
        <v>81</v>
      </c>
    </row>
    <row r="24" spans="1:14" ht="18" customHeight="1" x14ac:dyDescent="0.2">
      <c r="B24" s="108"/>
      <c r="C24" s="31" t="s">
        <v>50</v>
      </c>
      <c r="D24" s="85"/>
      <c r="E24" s="85"/>
      <c r="F24" s="86"/>
      <c r="G24" s="9" t="str">
        <f>IF(D24=791,"Так","Ні")</f>
        <v>Ні</v>
      </c>
      <c r="H24" s="9" t="str">
        <f>IF(E24=92,"Так","Ні")</f>
        <v>Ні</v>
      </c>
      <c r="I24" s="9" t="str">
        <f>IF(F24=430,"Так","Ні")</f>
        <v>Ні</v>
      </c>
      <c r="K24" s="97" t="s">
        <v>8</v>
      </c>
      <c r="L24" s="98"/>
      <c r="M24" s="98"/>
      <c r="N24" s="98"/>
    </row>
    <row r="25" spans="1:14" ht="17.25" customHeight="1" x14ac:dyDescent="0.2">
      <c r="B25" s="108"/>
      <c r="C25" s="31" t="s">
        <v>118</v>
      </c>
      <c r="D25" s="85"/>
      <c r="E25" s="85"/>
      <c r="F25" s="86"/>
      <c r="G25" s="9" t="str">
        <f>IF(D25=791,"Так","Ні")</f>
        <v>Ні</v>
      </c>
      <c r="H25" s="9" t="str">
        <f>IF(E25=93,"Так","Ні")</f>
        <v>Ні</v>
      </c>
      <c r="I25" s="9" t="str">
        <f>IF(F25=1000,"Так","Ні")</f>
        <v>Ні</v>
      </c>
      <c r="K25" s="101" t="s">
        <v>1</v>
      </c>
      <c r="L25" s="102"/>
      <c r="M25" s="101" t="s">
        <v>65</v>
      </c>
      <c r="N25" s="102"/>
    </row>
    <row r="26" spans="1:14" ht="25.5" x14ac:dyDescent="0.2">
      <c r="B26" s="106"/>
      <c r="C26" s="31" t="s">
        <v>52</v>
      </c>
      <c r="D26" s="85"/>
      <c r="E26" s="85"/>
      <c r="F26" s="86"/>
      <c r="G26" s="9" t="str">
        <f>IF(D26=791,"Так","Ні")</f>
        <v>Ні</v>
      </c>
      <c r="H26" s="9" t="str">
        <f>IF(E26=441,"Так","Ні")</f>
        <v>Ні</v>
      </c>
      <c r="I26" s="9" t="str">
        <f>IF(F26=70,"Так","Ні")</f>
        <v>Ні</v>
      </c>
      <c r="K26" s="37" t="s">
        <v>66</v>
      </c>
      <c r="L26" s="38" t="s">
        <v>54</v>
      </c>
      <c r="M26" s="37" t="s">
        <v>66</v>
      </c>
      <c r="N26" s="38" t="s">
        <v>54</v>
      </c>
    </row>
    <row r="27" spans="1:14" ht="12.75" x14ac:dyDescent="0.2">
      <c r="K27" s="39" t="s">
        <v>67</v>
      </c>
      <c r="L27" s="40"/>
      <c r="M27" s="39" t="s">
        <v>68</v>
      </c>
      <c r="N27" s="41"/>
    </row>
    <row r="28" spans="1:14" ht="12.75" x14ac:dyDescent="0.2">
      <c r="K28" s="39" t="s">
        <v>235</v>
      </c>
      <c r="L28" s="74"/>
      <c r="M28" s="39" t="s">
        <v>80</v>
      </c>
      <c r="N28" s="76"/>
    </row>
    <row r="29" spans="1:14" ht="12.75" x14ac:dyDescent="0.2">
      <c r="K29" s="42" t="s">
        <v>236</v>
      </c>
      <c r="L29" s="74"/>
      <c r="M29" s="39" t="s">
        <v>71</v>
      </c>
      <c r="N29" s="76"/>
    </row>
    <row r="30" spans="1:14" ht="12.75" x14ac:dyDescent="0.2">
      <c r="K30" s="42" t="s">
        <v>72</v>
      </c>
      <c r="L30" s="74"/>
      <c r="M30" s="43" t="s">
        <v>73</v>
      </c>
      <c r="N30" s="76"/>
    </row>
    <row r="31" spans="1:14" ht="12.75" x14ac:dyDescent="0.2">
      <c r="C31" s="103" t="s">
        <v>198</v>
      </c>
      <c r="D31" s="103"/>
      <c r="E31" s="61" t="s">
        <v>199</v>
      </c>
      <c r="F31" s="62"/>
      <c r="G31" s="62"/>
      <c r="H31" s="62"/>
      <c r="I31" s="63" t="s">
        <v>197</v>
      </c>
      <c r="K31" s="42" t="s">
        <v>74</v>
      </c>
      <c r="L31" s="74"/>
      <c r="M31" s="43" t="s">
        <v>75</v>
      </c>
      <c r="N31" s="76"/>
    </row>
    <row r="32" spans="1:14" ht="12.75" x14ac:dyDescent="0.2">
      <c r="C32" s="104" t="s">
        <v>200</v>
      </c>
      <c r="D32" s="104" t="s">
        <v>201</v>
      </c>
      <c r="E32" s="104"/>
      <c r="F32" s="104" t="s">
        <v>202</v>
      </c>
      <c r="G32" s="104"/>
      <c r="H32" s="104" t="s">
        <v>203</v>
      </c>
      <c r="I32" s="104"/>
      <c r="K32" s="42" t="s">
        <v>76</v>
      </c>
      <c r="L32" s="74"/>
      <c r="M32" s="43" t="s">
        <v>77</v>
      </c>
      <c r="N32" s="76"/>
    </row>
    <row r="33" spans="3:14" ht="12.75" x14ac:dyDescent="0.2">
      <c r="C33" s="104"/>
      <c r="D33" s="64" t="s">
        <v>12</v>
      </c>
      <c r="E33" s="64" t="s">
        <v>13</v>
      </c>
      <c r="F33" s="29" t="s">
        <v>12</v>
      </c>
      <c r="G33" s="29" t="s">
        <v>13</v>
      </c>
      <c r="H33" s="29" t="s">
        <v>12</v>
      </c>
      <c r="I33" s="29" t="s">
        <v>13</v>
      </c>
      <c r="K33" s="42" t="s">
        <v>78</v>
      </c>
      <c r="L33" s="74"/>
      <c r="M33" s="43" t="s">
        <v>79</v>
      </c>
      <c r="N33" s="41"/>
    </row>
    <row r="34" spans="3:14" ht="12.75" x14ac:dyDescent="0.2">
      <c r="C34" s="65" t="s">
        <v>232</v>
      </c>
      <c r="D34" s="66">
        <v>0</v>
      </c>
      <c r="E34" s="66">
        <v>0</v>
      </c>
      <c r="F34" s="66">
        <f>F17</f>
        <v>0</v>
      </c>
      <c r="G34" s="66">
        <v>0</v>
      </c>
      <c r="H34" s="66">
        <f t="shared" ref="H34:H37" si="0">IF(D34+F34&gt;E34+G34,D34-E34+F34-G34,0)</f>
        <v>0</v>
      </c>
      <c r="I34" s="66">
        <f t="shared" ref="I34:I37" si="1">IF(D34+F34&lt;E34+G34,E34-D34+G34-F34,0)</f>
        <v>0</v>
      </c>
      <c r="K34" s="44" t="s">
        <v>64</v>
      </c>
      <c r="L34" s="45">
        <f>SUM(L27:L33)</f>
        <v>0</v>
      </c>
      <c r="M34" s="46" t="s">
        <v>64</v>
      </c>
      <c r="N34" s="47">
        <f>SUM(N27:N33)</f>
        <v>0</v>
      </c>
    </row>
    <row r="35" spans="3:14" ht="15" customHeight="1" x14ac:dyDescent="0.2">
      <c r="C35" s="65" t="s">
        <v>233</v>
      </c>
      <c r="D35" s="66">
        <v>0</v>
      </c>
      <c r="E35" s="66">
        <v>0</v>
      </c>
      <c r="F35" s="66">
        <v>0</v>
      </c>
      <c r="G35" s="66">
        <f>F20</f>
        <v>0</v>
      </c>
      <c r="H35" s="66">
        <f t="shared" si="0"/>
        <v>0</v>
      </c>
      <c r="I35" s="66">
        <f t="shared" si="1"/>
        <v>0</v>
      </c>
      <c r="K35" s="36" t="s">
        <v>55</v>
      </c>
      <c r="L35" s="14" t="str">
        <f>IF(L34=1270,"Так","Ні")</f>
        <v>Ні</v>
      </c>
      <c r="M35" s="36" t="s">
        <v>55</v>
      </c>
      <c r="N35" s="14" t="str">
        <f>IF(N34=1270,"Так","Ні")</f>
        <v>Ні</v>
      </c>
    </row>
    <row r="36" spans="3:14" ht="12.75" x14ac:dyDescent="0.2">
      <c r="C36" s="65" t="s">
        <v>234</v>
      </c>
      <c r="D36" s="66">
        <v>0</v>
      </c>
      <c r="E36" s="66">
        <v>0</v>
      </c>
      <c r="F36" s="66">
        <f>F16</f>
        <v>0</v>
      </c>
      <c r="G36" s="66">
        <f>F17</f>
        <v>0</v>
      </c>
      <c r="H36" s="66">
        <f t="shared" si="0"/>
        <v>0</v>
      </c>
      <c r="I36" s="66">
        <f t="shared" si="1"/>
        <v>0</v>
      </c>
      <c r="K36" s="15" t="s">
        <v>82</v>
      </c>
    </row>
    <row r="37" spans="3:14" ht="15.75" customHeight="1" x14ac:dyDescent="0.2">
      <c r="C37" s="65" t="s">
        <v>225</v>
      </c>
      <c r="D37" s="66">
        <v>0</v>
      </c>
      <c r="E37" s="66">
        <v>0</v>
      </c>
      <c r="F37" s="66">
        <f>F11</f>
        <v>0</v>
      </c>
      <c r="G37" s="66">
        <f>F14</f>
        <v>0</v>
      </c>
      <c r="H37" s="66">
        <f t="shared" si="0"/>
        <v>0</v>
      </c>
      <c r="I37" s="66">
        <f t="shared" si="1"/>
        <v>0</v>
      </c>
    </row>
    <row r="38" spans="3:14" ht="15.75" customHeight="1" x14ac:dyDescent="0.2">
      <c r="C38" s="65" t="s">
        <v>205</v>
      </c>
      <c r="D38" s="66">
        <v>0</v>
      </c>
      <c r="E38" s="66">
        <v>0</v>
      </c>
      <c r="F38" s="66">
        <f>F7</f>
        <v>0</v>
      </c>
      <c r="G38" s="66">
        <f>F9</f>
        <v>0</v>
      </c>
      <c r="H38" s="66">
        <f>IF(D38+F38&gt;E38+G38,D38-E38+F38-G38,0)</f>
        <v>0</v>
      </c>
      <c r="I38" s="66">
        <f>IF(D38+F38&lt;E38+G38,E38-D38+G38-F38,0)</f>
        <v>0</v>
      </c>
    </row>
    <row r="39" spans="3:14" ht="15.75" customHeight="1" x14ac:dyDescent="0.2">
      <c r="C39" s="65" t="s">
        <v>206</v>
      </c>
      <c r="D39" s="66">
        <v>0</v>
      </c>
      <c r="E39" s="66">
        <v>0</v>
      </c>
      <c r="F39" s="66">
        <f>F12</f>
        <v>0</v>
      </c>
      <c r="G39" s="66">
        <f>F13</f>
        <v>0</v>
      </c>
      <c r="H39" s="66">
        <f t="shared" ref="H39:H50" si="2">IF(D39+F39&gt;E39+G39,D39-E39+F39-G39,0)</f>
        <v>0</v>
      </c>
      <c r="I39" s="66">
        <f t="shared" ref="I39:I50" si="3">IF(D39+F39&lt;E39+G39,E39-D39+G39-F39,0)</f>
        <v>0</v>
      </c>
    </row>
    <row r="40" spans="3:14" ht="15.75" customHeight="1" x14ac:dyDescent="0.2">
      <c r="C40" s="65" t="s">
        <v>207</v>
      </c>
      <c r="D40" s="66">
        <v>0</v>
      </c>
      <c r="E40" s="66">
        <v>0</v>
      </c>
      <c r="F40" s="66">
        <f>F6</f>
        <v>0</v>
      </c>
      <c r="G40" s="66">
        <f>F10+F12+F15</f>
        <v>0</v>
      </c>
      <c r="H40" s="66">
        <f t="shared" si="2"/>
        <v>0</v>
      </c>
      <c r="I40" s="66">
        <f t="shared" si="3"/>
        <v>0</v>
      </c>
    </row>
    <row r="41" spans="3:14" ht="15.75" customHeight="1" x14ac:dyDescent="0.2">
      <c r="C41" s="65" t="s">
        <v>208</v>
      </c>
      <c r="D41" s="66">
        <v>0</v>
      </c>
      <c r="E41" s="66">
        <v>0</v>
      </c>
      <c r="F41" s="66">
        <f>F8</f>
        <v>0</v>
      </c>
      <c r="G41" s="66">
        <f>F6</f>
        <v>0</v>
      </c>
      <c r="H41" s="66">
        <f t="shared" si="2"/>
        <v>0</v>
      </c>
      <c r="I41" s="66">
        <f t="shared" si="3"/>
        <v>0</v>
      </c>
    </row>
    <row r="42" spans="3:14" ht="15.75" customHeight="1" x14ac:dyDescent="0.2">
      <c r="C42" s="65" t="s">
        <v>209</v>
      </c>
      <c r="D42" s="66">
        <v>0</v>
      </c>
      <c r="E42" s="66">
        <v>0</v>
      </c>
      <c r="F42" s="66">
        <f>F13</f>
        <v>0</v>
      </c>
      <c r="G42" s="66">
        <f>F11</f>
        <v>0</v>
      </c>
      <c r="H42" s="66">
        <f t="shared" si="2"/>
        <v>0</v>
      </c>
      <c r="I42" s="66">
        <f t="shared" si="3"/>
        <v>0</v>
      </c>
    </row>
    <row r="43" spans="3:14" ht="15.75" customHeight="1" x14ac:dyDescent="0.2">
      <c r="C43" s="65" t="s">
        <v>211</v>
      </c>
      <c r="D43" s="66">
        <v>0</v>
      </c>
      <c r="E43" s="66">
        <v>0</v>
      </c>
      <c r="F43" s="66">
        <v>0</v>
      </c>
      <c r="G43" s="66">
        <f>F26</f>
        <v>0</v>
      </c>
      <c r="H43" s="66">
        <f t="shared" si="2"/>
        <v>0</v>
      </c>
      <c r="I43" s="66">
        <f t="shared" si="3"/>
        <v>0</v>
      </c>
    </row>
    <row r="44" spans="3:14" ht="15.75" customHeight="1" x14ac:dyDescent="0.2">
      <c r="C44" s="65" t="s">
        <v>213</v>
      </c>
      <c r="D44" s="66">
        <v>0</v>
      </c>
      <c r="E44" s="66">
        <v>0</v>
      </c>
      <c r="F44" s="66">
        <f>F10+F15</f>
        <v>0</v>
      </c>
      <c r="G44" s="66">
        <f>F7+F16+F18</f>
        <v>0</v>
      </c>
      <c r="H44" s="66">
        <f t="shared" si="2"/>
        <v>0</v>
      </c>
      <c r="I44" s="66">
        <f t="shared" si="3"/>
        <v>0</v>
      </c>
    </row>
    <row r="45" spans="3:14" ht="15.75" customHeight="1" x14ac:dyDescent="0.2">
      <c r="C45" s="65" t="s">
        <v>215</v>
      </c>
      <c r="D45" s="66">
        <v>0</v>
      </c>
      <c r="E45" s="66">
        <v>0</v>
      </c>
      <c r="F45" s="66">
        <v>0</v>
      </c>
      <c r="G45" s="66">
        <f>F19</f>
        <v>0</v>
      </c>
      <c r="H45" s="66">
        <f t="shared" si="2"/>
        <v>0</v>
      </c>
      <c r="I45" s="66">
        <f t="shared" si="3"/>
        <v>0</v>
      </c>
    </row>
    <row r="46" spans="3:14" ht="15.75" customHeight="1" x14ac:dyDescent="0.2">
      <c r="C46" s="65" t="s">
        <v>221</v>
      </c>
      <c r="D46" s="66">
        <v>0</v>
      </c>
      <c r="E46" s="66">
        <v>0</v>
      </c>
      <c r="F46" s="66">
        <f>F23+F24+F25+F26</f>
        <v>0</v>
      </c>
      <c r="G46" s="66">
        <f>F22</f>
        <v>0</v>
      </c>
      <c r="H46" s="66">
        <f t="shared" si="2"/>
        <v>0</v>
      </c>
      <c r="I46" s="66">
        <f t="shared" si="3"/>
        <v>0</v>
      </c>
    </row>
    <row r="47" spans="3:14" ht="15.75" customHeight="1" x14ac:dyDescent="0.2">
      <c r="C47" s="65" t="s">
        <v>216</v>
      </c>
      <c r="D47" s="66">
        <v>0</v>
      </c>
      <c r="E47" s="66">
        <v>0</v>
      </c>
      <c r="F47" s="66">
        <f>F22</f>
        <v>0</v>
      </c>
      <c r="G47" s="66">
        <f>F8</f>
        <v>0</v>
      </c>
      <c r="H47" s="66">
        <f t="shared" si="2"/>
        <v>0</v>
      </c>
      <c r="I47" s="66">
        <f t="shared" si="3"/>
        <v>0</v>
      </c>
    </row>
    <row r="48" spans="3:14" ht="15.75" customHeight="1" x14ac:dyDescent="0.2">
      <c r="C48" s="65" t="s">
        <v>217</v>
      </c>
      <c r="D48" s="66">
        <v>0</v>
      </c>
      <c r="E48" s="66">
        <v>0</v>
      </c>
      <c r="F48" s="66">
        <f>F9</f>
        <v>0</v>
      </c>
      <c r="G48" s="66">
        <f>F23</f>
        <v>0</v>
      </c>
      <c r="H48" s="66">
        <f t="shared" si="2"/>
        <v>0</v>
      </c>
      <c r="I48" s="66">
        <f t="shared" si="3"/>
        <v>0</v>
      </c>
    </row>
    <row r="49" spans="3:9" ht="15.75" customHeight="1" x14ac:dyDescent="0.2">
      <c r="C49" s="65" t="s">
        <v>218</v>
      </c>
      <c r="D49" s="66">
        <v>0</v>
      </c>
      <c r="E49" s="66">
        <v>0</v>
      </c>
      <c r="F49" s="66">
        <f>F14+F18+F20</f>
        <v>0</v>
      </c>
      <c r="G49" s="66">
        <f>F24</f>
        <v>0</v>
      </c>
      <c r="H49" s="66">
        <f t="shared" si="2"/>
        <v>0</v>
      </c>
      <c r="I49" s="66">
        <f t="shared" si="3"/>
        <v>0</v>
      </c>
    </row>
    <row r="50" spans="3:9" ht="15.75" customHeight="1" x14ac:dyDescent="0.2">
      <c r="C50" s="65" t="s">
        <v>219</v>
      </c>
      <c r="D50" s="66">
        <v>0</v>
      </c>
      <c r="E50" s="66">
        <v>0</v>
      </c>
      <c r="F50" s="66">
        <f>F19</f>
        <v>0</v>
      </c>
      <c r="G50" s="66">
        <f>F25</f>
        <v>0</v>
      </c>
      <c r="H50" s="66">
        <f t="shared" si="2"/>
        <v>0</v>
      </c>
      <c r="I50" s="66">
        <f t="shared" si="3"/>
        <v>0</v>
      </c>
    </row>
    <row r="51" spans="3:9" ht="15.75" customHeight="1" x14ac:dyDescent="0.2">
      <c r="C51" s="67" t="s">
        <v>64</v>
      </c>
      <c r="D51" s="68">
        <f>SUM(D34:D50)</f>
        <v>0</v>
      </c>
      <c r="E51" s="68">
        <f t="shared" ref="E51:I51" si="4">SUM(E34:E50)</f>
        <v>0</v>
      </c>
      <c r="F51" s="68">
        <f t="shared" si="4"/>
        <v>0</v>
      </c>
      <c r="G51" s="68">
        <f t="shared" si="4"/>
        <v>0</v>
      </c>
      <c r="H51" s="68">
        <f t="shared" si="4"/>
        <v>0</v>
      </c>
      <c r="I51" s="68">
        <f t="shared" si="4"/>
        <v>0</v>
      </c>
    </row>
  </sheetData>
  <sheetProtection algorithmName="SHA-512" hashValue="EaRkt5ENgZtNjMBGzUJ9pFjbtDkn2fSiVK19m+r7ni0XPCGU+vWEnHuJQ27LteoZvT7z1Z1aZHTjkaYDNRL7xw==" saltValue="pS/LyRGKU9S19rP00Rak4A==" spinCount="100000" sheet="1" formatCells="0"/>
  <mergeCells count="19">
    <mergeCell ref="C31:D31"/>
    <mergeCell ref="C32:C33"/>
    <mergeCell ref="D32:E32"/>
    <mergeCell ref="F32:G32"/>
    <mergeCell ref="H32:I32"/>
    <mergeCell ref="K24:N24"/>
    <mergeCell ref="K25:L25"/>
    <mergeCell ref="M25:N25"/>
    <mergeCell ref="B8:B9"/>
    <mergeCell ref="C8:C9"/>
    <mergeCell ref="D21:I21"/>
    <mergeCell ref="B21:B26"/>
    <mergeCell ref="K15:L15"/>
    <mergeCell ref="M15:N15"/>
    <mergeCell ref="G4:I4"/>
    <mergeCell ref="K4:N4"/>
    <mergeCell ref="K5:L5"/>
    <mergeCell ref="M5:N5"/>
    <mergeCell ref="K14:N1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46"/>
  <sheetViews>
    <sheetView showGridLines="0" showRowColHeaders="0" zoomScale="110" zoomScaleNormal="110" workbookViewId="0">
      <selection activeCell="F33" sqref="F33"/>
    </sheetView>
  </sheetViews>
  <sheetFormatPr defaultColWidth="9.140625" defaultRowHeight="12.75" x14ac:dyDescent="0.2"/>
  <cols>
    <col min="1" max="1" width="1.85546875" style="17" customWidth="1"/>
    <col min="2" max="3" width="9.140625" style="17"/>
    <col min="4" max="4" width="54" style="17" customWidth="1"/>
    <col min="5" max="5" width="10" style="17" customWidth="1"/>
    <col min="6" max="6" width="48.28515625" style="17" customWidth="1"/>
    <col min="7" max="8" width="10" style="17" customWidth="1"/>
    <col min="9" max="16384" width="9.140625" style="17"/>
  </cols>
  <sheetData>
    <row r="1" spans="2:10" ht="21" customHeight="1" x14ac:dyDescent="0.2">
      <c r="B1" s="52" t="s">
        <v>119</v>
      </c>
      <c r="F1" s="52" t="s">
        <v>120</v>
      </c>
      <c r="G1" s="18"/>
    </row>
    <row r="2" spans="2:10" ht="21" customHeight="1" x14ac:dyDescent="0.2">
      <c r="B2" s="18" t="s">
        <v>122</v>
      </c>
      <c r="F2" s="18" t="s">
        <v>125</v>
      </c>
      <c r="I2" s="114" t="s">
        <v>55</v>
      </c>
      <c r="J2" s="115"/>
    </row>
    <row r="3" spans="2:10" ht="14.25" customHeight="1" x14ac:dyDescent="0.2">
      <c r="B3" s="19" t="s">
        <v>12</v>
      </c>
      <c r="C3" s="19" t="s">
        <v>13</v>
      </c>
      <c r="D3" s="72" t="s">
        <v>124</v>
      </c>
      <c r="F3" s="69" t="s">
        <v>124</v>
      </c>
      <c r="G3" s="20" t="s">
        <v>12</v>
      </c>
      <c r="H3" s="21" t="s">
        <v>13</v>
      </c>
      <c r="I3" s="22" t="s">
        <v>12</v>
      </c>
      <c r="J3" s="22" t="s">
        <v>13</v>
      </c>
    </row>
    <row r="4" spans="2:10" x14ac:dyDescent="0.2">
      <c r="B4" s="23">
        <v>281</v>
      </c>
      <c r="C4" s="71">
        <v>631</v>
      </c>
      <c r="D4" s="56" t="s">
        <v>123</v>
      </c>
      <c r="F4" s="70" t="s">
        <v>123</v>
      </c>
      <c r="G4" s="50"/>
      <c r="H4" s="26"/>
      <c r="I4" s="24" t="str">
        <f>IF(G4=281,"Так","Ні")</f>
        <v>Ні</v>
      </c>
      <c r="J4" s="24" t="str">
        <f>IF(H4=631,"Так","Ні")</f>
        <v>Ні</v>
      </c>
    </row>
    <row r="5" spans="2:10" x14ac:dyDescent="0.2">
      <c r="B5" s="23">
        <v>661</v>
      </c>
      <c r="C5" s="23">
        <v>311</v>
      </c>
      <c r="D5" s="73"/>
      <c r="F5" s="56" t="s">
        <v>126</v>
      </c>
      <c r="G5" s="50"/>
      <c r="H5" s="26"/>
      <c r="I5" s="24" t="str">
        <f>IF(G5=23,"Так","Ні")</f>
        <v>Ні</v>
      </c>
      <c r="J5" s="24" t="str">
        <f>IF(H5=201,"Так","Ні")</f>
        <v>Ні</v>
      </c>
    </row>
    <row r="6" spans="2:10" x14ac:dyDescent="0.2">
      <c r="B6" s="23">
        <v>372</v>
      </c>
      <c r="C6" s="23">
        <v>301</v>
      </c>
      <c r="D6" s="28"/>
      <c r="F6" s="56" t="s">
        <v>127</v>
      </c>
      <c r="G6" s="50"/>
      <c r="H6" s="26"/>
      <c r="I6" s="24" t="str">
        <f>IF(G6=46,"Так","Ні")</f>
        <v>Ні</v>
      </c>
      <c r="J6" s="24" t="str">
        <f>IF(H6=40,"Так","Ні")</f>
        <v>Ні</v>
      </c>
    </row>
    <row r="7" spans="2:10" x14ac:dyDescent="0.2">
      <c r="B7" s="23">
        <v>93</v>
      </c>
      <c r="C7" s="23">
        <v>661</v>
      </c>
      <c r="D7" s="28"/>
      <c r="F7" s="56" t="s">
        <v>128</v>
      </c>
      <c r="G7" s="50"/>
      <c r="H7" s="26"/>
      <c r="I7" s="24" t="str">
        <f>IF(G7=311,"Так","Ні")</f>
        <v>Ні</v>
      </c>
      <c r="J7" s="24" t="str">
        <f>IF(H7=301,"Так","Ні")</f>
        <v>Ні</v>
      </c>
    </row>
    <row r="8" spans="2:10" x14ac:dyDescent="0.2">
      <c r="B8" s="23">
        <v>23</v>
      </c>
      <c r="C8" s="23">
        <v>201</v>
      </c>
      <c r="D8" s="28"/>
      <c r="F8" s="56" t="s">
        <v>129</v>
      </c>
      <c r="G8" s="50"/>
      <c r="H8" s="26"/>
      <c r="I8" s="24" t="str">
        <f>IF(G8=152,"Так","Ні")</f>
        <v>Ні</v>
      </c>
      <c r="J8" s="24" t="str">
        <f>IF(H8=631,"Так","Ні")</f>
        <v>Ні</v>
      </c>
    </row>
    <row r="9" spans="2:10" x14ac:dyDescent="0.2">
      <c r="B9" s="23">
        <v>311</v>
      </c>
      <c r="C9" s="23">
        <v>301</v>
      </c>
      <c r="D9" s="28"/>
      <c r="F9" s="56" t="s">
        <v>130</v>
      </c>
      <c r="G9" s="50"/>
      <c r="H9" s="26"/>
      <c r="I9" s="24" t="str">
        <f>IF(G9=201,"Так","Ні")</f>
        <v>Ні</v>
      </c>
      <c r="J9" s="24" t="str">
        <f>IF(H9=372,"Так","Ні")</f>
        <v>Ні</v>
      </c>
    </row>
    <row r="10" spans="2:10" x14ac:dyDescent="0.2">
      <c r="B10" s="23">
        <v>361</v>
      </c>
      <c r="C10" s="23">
        <v>701</v>
      </c>
      <c r="D10" s="28"/>
      <c r="F10" s="56" t="s">
        <v>131</v>
      </c>
      <c r="G10" s="50"/>
      <c r="H10" s="26"/>
      <c r="I10" s="24" t="str">
        <f>IF(G10=601,"Так","Ні")</f>
        <v>Ні</v>
      </c>
      <c r="J10" s="24" t="str">
        <f>IF(H10=311,"Так","Ні")</f>
        <v>Ні</v>
      </c>
    </row>
    <row r="11" spans="2:10" ht="14.25" customHeight="1" x14ac:dyDescent="0.2">
      <c r="B11" s="23">
        <v>92</v>
      </c>
      <c r="C11" s="23">
        <v>372</v>
      </c>
      <c r="D11" s="28"/>
      <c r="F11" s="56" t="s">
        <v>132</v>
      </c>
      <c r="G11" s="50"/>
      <c r="H11" s="26"/>
      <c r="I11" s="24" t="str">
        <f>IF(G11=23,"Так","Ні")</f>
        <v>Ні</v>
      </c>
      <c r="J11" s="24" t="str">
        <f>IF(H11=661,"Так","Ні")</f>
        <v>Ні</v>
      </c>
    </row>
    <row r="12" spans="2:10" x14ac:dyDescent="0.2">
      <c r="B12" s="23">
        <v>902</v>
      </c>
      <c r="C12" s="23">
        <v>281</v>
      </c>
      <c r="D12" s="28"/>
      <c r="F12" s="56" t="s">
        <v>133</v>
      </c>
      <c r="G12" s="50"/>
      <c r="H12" s="26"/>
      <c r="I12" s="24" t="str">
        <f>IF(G12=26,"Так","Ні")</f>
        <v>Ні</v>
      </c>
      <c r="J12" s="24" t="str">
        <f>IF(H12=23,"Так","Ні")</f>
        <v>Ні</v>
      </c>
    </row>
    <row r="13" spans="2:10" x14ac:dyDescent="0.2">
      <c r="B13" s="23">
        <v>702</v>
      </c>
      <c r="C13" s="23">
        <v>791</v>
      </c>
      <c r="D13" s="28"/>
      <c r="F13" s="56" t="s">
        <v>134</v>
      </c>
      <c r="G13" s="50"/>
      <c r="H13" s="26"/>
      <c r="I13" s="24" t="str">
        <f>IF(G13=442,"Так","Ні")</f>
        <v>Ні</v>
      </c>
      <c r="J13" s="24" t="str">
        <f>IF(H13=791,"Так","Ні")</f>
        <v>Ні</v>
      </c>
    </row>
    <row r="14" spans="2:10" x14ac:dyDescent="0.2">
      <c r="B14" s="23">
        <v>46</v>
      </c>
      <c r="C14" s="23">
        <v>40</v>
      </c>
      <c r="D14" s="28"/>
      <c r="F14" s="56" t="s">
        <v>135</v>
      </c>
      <c r="G14" s="50"/>
      <c r="H14" s="26"/>
      <c r="I14" s="24" t="str">
        <f>IF(G14=301,"Так","Ні")</f>
        <v>Ні</v>
      </c>
      <c r="J14" s="24" t="str">
        <f>IF(H14=372,"Так","Ні")</f>
        <v>Ні</v>
      </c>
    </row>
    <row r="15" spans="2:10" x14ac:dyDescent="0.2">
      <c r="B15" s="23">
        <v>311</v>
      </c>
      <c r="C15" s="23">
        <v>601</v>
      </c>
      <c r="D15" s="28"/>
      <c r="F15" s="56" t="s">
        <v>136</v>
      </c>
      <c r="G15" s="50"/>
      <c r="H15" s="26"/>
      <c r="I15" s="24" t="str">
        <f>IF(G15=104,"Так","Ні")</f>
        <v>Ні</v>
      </c>
      <c r="J15" s="24" t="str">
        <f>IF(H15=152,"Так","Ні")</f>
        <v>Ні</v>
      </c>
    </row>
    <row r="16" spans="2:10" x14ac:dyDescent="0.2">
      <c r="B16" s="23">
        <v>23</v>
      </c>
      <c r="C16" s="23">
        <v>131</v>
      </c>
      <c r="D16" s="28"/>
      <c r="F16" s="56" t="s">
        <v>137</v>
      </c>
      <c r="G16" s="50"/>
      <c r="H16" s="26"/>
      <c r="I16" s="24" t="str">
        <f>IF(G16=361,"Так","Ні")</f>
        <v>Ні</v>
      </c>
      <c r="J16" s="24" t="str">
        <f>IF(H16=703,"Так","Ні")</f>
        <v>Ні</v>
      </c>
    </row>
    <row r="17" spans="2:10" x14ac:dyDescent="0.2">
      <c r="B17" s="23">
        <v>951</v>
      </c>
      <c r="C17" s="23">
        <v>684</v>
      </c>
      <c r="D17" s="28"/>
      <c r="F17" s="56" t="s">
        <v>138</v>
      </c>
      <c r="G17" s="50"/>
      <c r="H17" s="26"/>
      <c r="I17" s="24" t="str">
        <f>IF(G17=92,"Так","Ні")</f>
        <v>Ні</v>
      </c>
      <c r="J17" s="24" t="str">
        <f>IF(H17=631,"Так","Ні")</f>
        <v>Ні</v>
      </c>
    </row>
    <row r="18" spans="2:10" ht="24" customHeight="1" x14ac:dyDescent="0.2">
      <c r="B18" s="23">
        <v>791</v>
      </c>
      <c r="C18" s="23">
        <v>441</v>
      </c>
      <c r="D18" s="28"/>
      <c r="F18" s="56" t="s">
        <v>139</v>
      </c>
      <c r="G18" s="50"/>
      <c r="H18" s="26"/>
      <c r="I18" s="24" t="str">
        <f>IF(G18=902,"Так","Ні")</f>
        <v>Ні</v>
      </c>
      <c r="J18" s="24" t="str">
        <f>IF(H18=281,"Так","Ні")</f>
        <v>Ні</v>
      </c>
    </row>
    <row r="19" spans="2:10" x14ac:dyDescent="0.2">
      <c r="B19" s="23">
        <v>152</v>
      </c>
      <c r="C19" s="23">
        <v>631</v>
      </c>
      <c r="D19" s="28"/>
      <c r="F19" s="56" t="s">
        <v>140</v>
      </c>
      <c r="G19" s="50"/>
      <c r="H19" s="26"/>
      <c r="I19" s="24" t="str">
        <f>IF(G19=661,"Так","Ні")</f>
        <v>Ні</v>
      </c>
      <c r="J19" s="24" t="str">
        <f>IF(H19=301,"Так","Ні")</f>
        <v>Ні</v>
      </c>
    </row>
    <row r="20" spans="2:10" ht="25.5" customHeight="1" x14ac:dyDescent="0.2">
      <c r="B20" s="23">
        <v>201</v>
      </c>
      <c r="C20" s="23">
        <v>631</v>
      </c>
      <c r="D20" s="28"/>
      <c r="F20" s="56" t="s">
        <v>141</v>
      </c>
      <c r="G20" s="50"/>
      <c r="H20" s="26"/>
      <c r="I20" s="24" t="str">
        <f>IF(G20=311,"Так","Ні")</f>
        <v>Ні</v>
      </c>
      <c r="J20" s="24" t="str">
        <f>IF(H20=46,"Так","Ні")</f>
        <v>Ні</v>
      </c>
    </row>
    <row r="21" spans="2:10" x14ac:dyDescent="0.2">
      <c r="B21" s="23">
        <v>26</v>
      </c>
      <c r="C21" s="23">
        <v>23</v>
      </c>
      <c r="D21" s="28"/>
    </row>
    <row r="22" spans="2:10" x14ac:dyDescent="0.2">
      <c r="B22" s="23">
        <v>631</v>
      </c>
      <c r="C22" s="23">
        <v>311</v>
      </c>
      <c r="D22" s="28"/>
    </row>
    <row r="23" spans="2:10" x14ac:dyDescent="0.2">
      <c r="B23" s="23">
        <v>105</v>
      </c>
      <c r="C23" s="23">
        <v>152</v>
      </c>
      <c r="D23" s="28"/>
    </row>
    <row r="24" spans="2:10" ht="8.25" customHeight="1" x14ac:dyDescent="0.2"/>
    <row r="25" spans="2:10" ht="18" customHeight="1" x14ac:dyDescent="0.2">
      <c r="E25" s="52" t="s">
        <v>121</v>
      </c>
    </row>
    <row r="26" spans="2:10" ht="21" customHeight="1" x14ac:dyDescent="0.2">
      <c r="E26" s="18" t="s">
        <v>142</v>
      </c>
    </row>
    <row r="27" spans="2:10" ht="51" x14ac:dyDescent="0.2">
      <c r="E27" s="53" t="s">
        <v>145</v>
      </c>
      <c r="F27" s="53" t="s">
        <v>144</v>
      </c>
      <c r="G27" s="54" t="s">
        <v>146</v>
      </c>
      <c r="H27" s="55" t="s">
        <v>147</v>
      </c>
    </row>
    <row r="28" spans="2:10" x14ac:dyDescent="0.2">
      <c r="E28" s="23" t="s">
        <v>14</v>
      </c>
      <c r="F28" s="28" t="s">
        <v>143</v>
      </c>
      <c r="G28" s="27">
        <v>1100</v>
      </c>
      <c r="H28" s="24" t="str">
        <f>IF(OR(G28=1100,G28=1103),"Так","Ні")</f>
        <v>Так</v>
      </c>
    </row>
    <row r="29" spans="2:10" x14ac:dyDescent="0.2">
      <c r="E29" s="23" t="s">
        <v>15</v>
      </c>
      <c r="F29" s="28"/>
      <c r="G29" s="27"/>
      <c r="H29" s="24" t="str">
        <f>IF(G29=1420,"Так","Ні")</f>
        <v>Ні</v>
      </c>
    </row>
    <row r="30" spans="2:10" x14ac:dyDescent="0.2">
      <c r="E30" s="23" t="s">
        <v>16</v>
      </c>
      <c r="F30" s="28" t="s">
        <v>204</v>
      </c>
      <c r="G30" s="27">
        <v>1125</v>
      </c>
      <c r="H30" s="24" t="str">
        <f>IF(G30=1125,"Так","Ні")</f>
        <v>Так</v>
      </c>
    </row>
    <row r="31" spans="2:10" x14ac:dyDescent="0.2">
      <c r="E31" s="23" t="s">
        <v>17</v>
      </c>
      <c r="F31" s="28"/>
      <c r="G31" s="27"/>
      <c r="H31" s="24" t="str">
        <f>IF(G31=1630,"Так","Ні")</f>
        <v>Ні</v>
      </c>
    </row>
    <row r="32" spans="2:10" ht="15" customHeight="1" x14ac:dyDescent="0.2">
      <c r="E32" s="23" t="s">
        <v>18</v>
      </c>
      <c r="F32" s="25"/>
      <c r="G32" s="27"/>
      <c r="H32" s="24" t="str">
        <f>IF(G32=1011,"Так","Ні")</f>
        <v>Ні</v>
      </c>
    </row>
    <row r="33" spans="5:8" x14ac:dyDescent="0.2">
      <c r="E33" s="23" t="s">
        <v>19</v>
      </c>
      <c r="F33" s="28"/>
      <c r="G33" s="27"/>
      <c r="H33" s="24" t="str">
        <f>IF(G33=1615,"Так","Ні")</f>
        <v>Ні</v>
      </c>
    </row>
    <row r="34" spans="5:8" x14ac:dyDescent="0.2">
      <c r="E34" s="23" t="s">
        <v>20</v>
      </c>
      <c r="F34" s="28"/>
      <c r="G34" s="27"/>
      <c r="H34" s="24" t="str">
        <f>IF(G34=1165,"Так","Ні")</f>
        <v>Ні</v>
      </c>
    </row>
    <row r="35" spans="5:8" x14ac:dyDescent="0.2">
      <c r="E35" s="23" t="s">
        <v>21</v>
      </c>
      <c r="F35" s="28"/>
      <c r="G35" s="27"/>
      <c r="H35" s="24" t="str">
        <f>IF(G35=1400,"Так","Ні")</f>
        <v>Ні</v>
      </c>
    </row>
    <row r="36" spans="5:8" x14ac:dyDescent="0.2">
      <c r="E36" s="23" t="s">
        <v>22</v>
      </c>
      <c r="F36" s="28"/>
      <c r="G36" s="27"/>
      <c r="H36" s="24" t="str">
        <f>IF(G36=1155,"Так","Ні")</f>
        <v>Ні</v>
      </c>
    </row>
    <row r="37" spans="5:8" x14ac:dyDescent="0.2">
      <c r="E37" s="23" t="s">
        <v>23</v>
      </c>
      <c r="F37" s="28"/>
      <c r="G37" s="27"/>
      <c r="H37" s="24" t="str">
        <f>IF(G37=1600,"Так","Ні")</f>
        <v>Ні</v>
      </c>
    </row>
    <row r="38" spans="5:8" x14ac:dyDescent="0.2">
      <c r="E38" s="23" t="s">
        <v>24</v>
      </c>
      <c r="F38" s="28"/>
      <c r="G38" s="27"/>
      <c r="H38" s="24" t="str">
        <f>IF(OR(G38=1100,G38=1103),"Так","Ні")</f>
        <v>Ні</v>
      </c>
    </row>
    <row r="39" spans="5:8" x14ac:dyDescent="0.2">
      <c r="E39" s="23" t="s">
        <v>25</v>
      </c>
      <c r="F39" s="28"/>
      <c r="G39" s="27"/>
      <c r="H39" s="24" t="str">
        <f>IF(G39=1690,"Так","Ні")</f>
        <v>Ні</v>
      </c>
    </row>
    <row r="40" spans="5:8" x14ac:dyDescent="0.2">
      <c r="E40" s="23" t="s">
        <v>26</v>
      </c>
      <c r="F40" s="28"/>
      <c r="G40" s="27"/>
      <c r="H40" s="24" t="str">
        <f>IF(G40=1100,"Так","Ні")</f>
        <v>Ні</v>
      </c>
    </row>
    <row r="41" spans="5:8" x14ac:dyDescent="0.2">
      <c r="E41" s="23" t="s">
        <v>27</v>
      </c>
      <c r="F41" s="28"/>
      <c r="G41" s="27"/>
      <c r="H41" s="24" t="str">
        <f>IF(G41=1620,"Так","Ні")</f>
        <v>Ні</v>
      </c>
    </row>
    <row r="42" spans="5:8" x14ac:dyDescent="0.2">
      <c r="E42" s="23" t="s">
        <v>28</v>
      </c>
      <c r="F42" s="28"/>
      <c r="G42" s="27"/>
      <c r="H42" s="24" t="str">
        <f>IF(G42=1005,"Так","Ні")</f>
        <v>Ні</v>
      </c>
    </row>
    <row r="43" spans="5:8" x14ac:dyDescent="0.2">
      <c r="E43" s="23" t="s">
        <v>29</v>
      </c>
      <c r="F43" s="28"/>
      <c r="G43" s="27"/>
      <c r="H43" s="24" t="str">
        <f>IF(G43=1625,"Так","Ні")</f>
        <v>Ні</v>
      </c>
    </row>
    <row r="44" spans="5:8" x14ac:dyDescent="0.2">
      <c r="E44" s="23" t="s">
        <v>30</v>
      </c>
      <c r="F44" s="28"/>
      <c r="G44" s="27"/>
      <c r="H44" s="24" t="str">
        <f>IF(G44=1425,"Так","Ні")</f>
        <v>Ні</v>
      </c>
    </row>
    <row r="45" spans="5:8" x14ac:dyDescent="0.2">
      <c r="E45" s="23" t="s">
        <v>31</v>
      </c>
      <c r="F45" s="28"/>
      <c r="G45" s="27"/>
      <c r="H45" s="24" t="str">
        <f>IF(OR(G45=1600,G45=1690),"Так","Ні")</f>
        <v>Ні</v>
      </c>
    </row>
    <row r="46" spans="5:8" x14ac:dyDescent="0.2">
      <c r="E46" s="23" t="s">
        <v>32</v>
      </c>
      <c r="F46" s="28"/>
      <c r="G46" s="27"/>
      <c r="H46" s="24" t="str">
        <f>IF(G46=1100,"Так","Ні")</f>
        <v>Ні</v>
      </c>
    </row>
  </sheetData>
  <sheetProtection algorithmName="SHA-512" hashValue="BnCaSoLMLdOlJH0IJu5GZ+/9tn0XU8x6a17U5wQKhsvWa1n4XsRo8/02ydFWtJgJIEeeYz//+/6y4EyQLjh0GA==" saltValue="C3v46NJlZzgCp1uEtjR18w==" spinCount="100000" sheet="1" formatCells="0"/>
  <mergeCells count="1">
    <mergeCell ref="I2:J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50"/>
  <sheetViews>
    <sheetView showGridLines="0" showRowColHeaders="0" zoomScaleNormal="100" workbookViewId="0"/>
  </sheetViews>
  <sheetFormatPr defaultRowHeight="12.75" x14ac:dyDescent="0.2"/>
  <cols>
    <col min="1" max="1" width="3.85546875" customWidth="1"/>
    <col min="3" max="3" width="56.28515625" customWidth="1"/>
    <col min="4" max="4" width="12.140625" customWidth="1"/>
  </cols>
  <sheetData>
    <row r="1" spans="2:4" ht="10.5" customHeight="1" x14ac:dyDescent="0.2"/>
    <row r="2" spans="2:4" ht="18" customHeight="1" x14ac:dyDescent="0.2">
      <c r="B2" s="57" t="s">
        <v>148</v>
      </c>
      <c r="C2" s="57" t="s">
        <v>149</v>
      </c>
      <c r="D2" s="57" t="s">
        <v>150</v>
      </c>
    </row>
    <row r="3" spans="2:4" ht="16.5" customHeight="1" x14ac:dyDescent="0.2">
      <c r="B3" s="116" t="s">
        <v>151</v>
      </c>
      <c r="C3" s="117"/>
      <c r="D3" s="118"/>
    </row>
    <row r="4" spans="2:4" ht="16.5" customHeight="1" x14ac:dyDescent="0.2">
      <c r="B4" s="58">
        <v>104</v>
      </c>
      <c r="C4" s="59" t="s">
        <v>152</v>
      </c>
      <c r="D4" s="58" t="s">
        <v>9</v>
      </c>
    </row>
    <row r="5" spans="2:4" ht="16.5" customHeight="1" x14ac:dyDescent="0.2">
      <c r="B5" s="58">
        <v>105</v>
      </c>
      <c r="C5" s="59" t="s">
        <v>153</v>
      </c>
      <c r="D5" s="58" t="s">
        <v>9</v>
      </c>
    </row>
    <row r="6" spans="2:4" ht="16.5" customHeight="1" x14ac:dyDescent="0.2">
      <c r="B6" s="58">
        <v>106</v>
      </c>
      <c r="C6" s="59" t="s">
        <v>154</v>
      </c>
      <c r="D6" s="58" t="s">
        <v>9</v>
      </c>
    </row>
    <row r="7" spans="2:4" ht="16.5" customHeight="1" x14ac:dyDescent="0.2">
      <c r="B7" s="58">
        <v>112</v>
      </c>
      <c r="C7" s="59" t="s">
        <v>155</v>
      </c>
      <c r="D7" s="58" t="s">
        <v>9</v>
      </c>
    </row>
    <row r="8" spans="2:4" ht="16.5" customHeight="1" x14ac:dyDescent="0.2">
      <c r="B8" s="58">
        <v>127</v>
      </c>
      <c r="C8" s="59" t="s">
        <v>156</v>
      </c>
      <c r="D8" s="58" t="s">
        <v>9</v>
      </c>
    </row>
    <row r="9" spans="2:4" ht="16.5" customHeight="1" x14ac:dyDescent="0.2">
      <c r="B9" s="58">
        <v>131</v>
      </c>
      <c r="C9" s="59" t="s">
        <v>157</v>
      </c>
      <c r="D9" s="58" t="s">
        <v>11</v>
      </c>
    </row>
    <row r="10" spans="2:4" ht="16.5" customHeight="1" x14ac:dyDescent="0.2">
      <c r="B10" s="58">
        <v>152</v>
      </c>
      <c r="C10" s="59" t="s">
        <v>158</v>
      </c>
      <c r="D10" s="58" t="s">
        <v>9</v>
      </c>
    </row>
    <row r="11" spans="2:4" ht="16.5" customHeight="1" x14ac:dyDescent="0.2">
      <c r="B11" s="58">
        <v>154</v>
      </c>
      <c r="C11" s="59" t="s">
        <v>159</v>
      </c>
      <c r="D11" s="58" t="s">
        <v>9</v>
      </c>
    </row>
    <row r="12" spans="2:4" ht="16.5" customHeight="1" x14ac:dyDescent="0.2">
      <c r="B12" s="116" t="s">
        <v>160</v>
      </c>
      <c r="C12" s="117"/>
      <c r="D12" s="118"/>
    </row>
    <row r="13" spans="2:4" ht="16.5" customHeight="1" x14ac:dyDescent="0.2">
      <c r="B13" s="58">
        <v>201</v>
      </c>
      <c r="C13" s="59" t="s">
        <v>161</v>
      </c>
      <c r="D13" s="58" t="s">
        <v>9</v>
      </c>
    </row>
    <row r="14" spans="2:4" ht="16.5" customHeight="1" x14ac:dyDescent="0.2">
      <c r="B14" s="58">
        <v>23</v>
      </c>
      <c r="C14" s="59" t="s">
        <v>162</v>
      </c>
      <c r="D14" s="58" t="s">
        <v>9</v>
      </c>
    </row>
    <row r="15" spans="2:4" ht="16.5" customHeight="1" x14ac:dyDescent="0.2">
      <c r="B15" s="58">
        <v>26</v>
      </c>
      <c r="C15" s="59" t="s">
        <v>163</v>
      </c>
      <c r="D15" s="58" t="s">
        <v>9</v>
      </c>
    </row>
    <row r="16" spans="2:4" ht="16.5" customHeight="1" x14ac:dyDescent="0.2">
      <c r="B16" s="58">
        <v>281</v>
      </c>
      <c r="C16" s="59" t="s">
        <v>164</v>
      </c>
      <c r="D16" s="58" t="s">
        <v>9</v>
      </c>
    </row>
    <row r="17" spans="2:4" ht="17.25" customHeight="1" x14ac:dyDescent="0.2">
      <c r="B17" s="58">
        <v>282</v>
      </c>
      <c r="C17" s="59" t="s">
        <v>165</v>
      </c>
      <c r="D17" s="58" t="s">
        <v>9</v>
      </c>
    </row>
    <row r="18" spans="2:4" ht="17.25" customHeight="1" x14ac:dyDescent="0.2">
      <c r="B18" s="58">
        <v>301</v>
      </c>
      <c r="C18" s="59" t="s">
        <v>166</v>
      </c>
      <c r="D18" s="58" t="s">
        <v>9</v>
      </c>
    </row>
    <row r="19" spans="2:4" ht="17.25" customHeight="1" x14ac:dyDescent="0.2">
      <c r="B19" s="58">
        <v>311</v>
      </c>
      <c r="C19" s="59" t="s">
        <v>167</v>
      </c>
      <c r="D19" s="58" t="s">
        <v>9</v>
      </c>
    </row>
    <row r="20" spans="2:4" ht="17.25" customHeight="1" x14ac:dyDescent="0.2">
      <c r="B20" s="58">
        <v>361</v>
      </c>
      <c r="C20" s="59" t="s">
        <v>168</v>
      </c>
      <c r="D20" s="58" t="s">
        <v>10</v>
      </c>
    </row>
    <row r="21" spans="2:4" ht="17.25" customHeight="1" x14ac:dyDescent="0.2">
      <c r="B21" s="58">
        <v>372</v>
      </c>
      <c r="C21" s="59" t="s">
        <v>169</v>
      </c>
      <c r="D21" s="58" t="s">
        <v>10</v>
      </c>
    </row>
    <row r="22" spans="2:4" ht="17.25" customHeight="1" x14ac:dyDescent="0.2">
      <c r="B22" s="58">
        <v>378</v>
      </c>
      <c r="C22" s="59" t="s">
        <v>170</v>
      </c>
      <c r="D22" s="58" t="s">
        <v>10</v>
      </c>
    </row>
    <row r="23" spans="2:4" ht="17.25" customHeight="1" x14ac:dyDescent="0.2">
      <c r="B23" s="116" t="s">
        <v>171</v>
      </c>
      <c r="C23" s="117"/>
      <c r="D23" s="118"/>
    </row>
    <row r="24" spans="2:4" ht="17.25" customHeight="1" x14ac:dyDescent="0.2">
      <c r="B24" s="58">
        <v>40</v>
      </c>
      <c r="C24" s="59" t="s">
        <v>172</v>
      </c>
      <c r="D24" s="58" t="s">
        <v>11</v>
      </c>
    </row>
    <row r="25" spans="2:4" ht="17.25" customHeight="1" x14ac:dyDescent="0.2">
      <c r="B25" s="58">
        <v>441</v>
      </c>
      <c r="C25" s="59" t="s">
        <v>173</v>
      </c>
      <c r="D25" s="58" t="s">
        <v>11</v>
      </c>
    </row>
    <row r="26" spans="2:4" ht="17.25" customHeight="1" x14ac:dyDescent="0.2">
      <c r="B26" s="58">
        <v>442</v>
      </c>
      <c r="C26" s="59" t="s">
        <v>174</v>
      </c>
      <c r="D26" s="58" t="s">
        <v>9</v>
      </c>
    </row>
    <row r="27" spans="2:4" ht="17.25" customHeight="1" x14ac:dyDescent="0.2">
      <c r="B27" s="58">
        <v>46</v>
      </c>
      <c r="C27" s="59" t="s">
        <v>71</v>
      </c>
      <c r="D27" s="58" t="s">
        <v>9</v>
      </c>
    </row>
    <row r="28" spans="2:4" ht="17.25" customHeight="1" x14ac:dyDescent="0.2">
      <c r="B28" s="116" t="s">
        <v>175</v>
      </c>
      <c r="C28" s="117"/>
      <c r="D28" s="118"/>
    </row>
    <row r="29" spans="2:4" ht="17.25" customHeight="1" x14ac:dyDescent="0.2">
      <c r="B29" s="58">
        <v>601</v>
      </c>
      <c r="C29" s="59" t="s">
        <v>176</v>
      </c>
      <c r="D29" s="58" t="s">
        <v>11</v>
      </c>
    </row>
    <row r="30" spans="2:4" ht="17.25" customHeight="1" x14ac:dyDescent="0.2">
      <c r="B30" s="58">
        <v>631</v>
      </c>
      <c r="C30" s="59" t="s">
        <v>177</v>
      </c>
      <c r="D30" s="58" t="s">
        <v>10</v>
      </c>
    </row>
    <row r="31" spans="2:4" ht="17.25" customHeight="1" x14ac:dyDescent="0.2">
      <c r="B31" s="58">
        <v>641</v>
      </c>
      <c r="C31" s="59" t="s">
        <v>178</v>
      </c>
      <c r="D31" s="58" t="s">
        <v>10</v>
      </c>
    </row>
    <row r="32" spans="2:4" ht="17.25" customHeight="1" x14ac:dyDescent="0.2">
      <c r="B32" s="58">
        <v>6431</v>
      </c>
      <c r="C32" s="60" t="s">
        <v>179</v>
      </c>
      <c r="D32" s="58" t="s">
        <v>9</v>
      </c>
    </row>
    <row r="33" spans="2:4" ht="17.25" customHeight="1" x14ac:dyDescent="0.2">
      <c r="B33" s="58">
        <v>6432</v>
      </c>
      <c r="C33" s="60" t="s">
        <v>180</v>
      </c>
      <c r="D33" s="58" t="s">
        <v>11</v>
      </c>
    </row>
    <row r="34" spans="2:4" ht="17.25" customHeight="1" x14ac:dyDescent="0.2">
      <c r="B34" s="58">
        <v>6441</v>
      </c>
      <c r="C34" s="60" t="s">
        <v>181</v>
      </c>
      <c r="D34" s="58" t="s">
        <v>11</v>
      </c>
    </row>
    <row r="35" spans="2:4" ht="17.25" customHeight="1" x14ac:dyDescent="0.2">
      <c r="B35" s="58">
        <v>6442</v>
      </c>
      <c r="C35" s="60" t="s">
        <v>182</v>
      </c>
      <c r="D35" s="58" t="s">
        <v>9</v>
      </c>
    </row>
    <row r="36" spans="2:4" ht="17.25" customHeight="1" x14ac:dyDescent="0.2">
      <c r="B36" s="58">
        <v>651</v>
      </c>
      <c r="C36" s="59" t="s">
        <v>183</v>
      </c>
      <c r="D36" s="58" t="s">
        <v>11</v>
      </c>
    </row>
    <row r="37" spans="2:4" ht="17.25" customHeight="1" x14ac:dyDescent="0.2">
      <c r="B37" s="58">
        <v>661</v>
      </c>
      <c r="C37" s="59" t="s">
        <v>184</v>
      </c>
      <c r="D37" s="58" t="s">
        <v>11</v>
      </c>
    </row>
    <row r="38" spans="2:4" ht="17.25" customHeight="1" x14ac:dyDescent="0.2">
      <c r="B38" s="116" t="s">
        <v>185</v>
      </c>
      <c r="C38" s="117"/>
      <c r="D38" s="118"/>
    </row>
    <row r="39" spans="2:4" ht="17.25" customHeight="1" x14ac:dyDescent="0.2">
      <c r="B39" s="58">
        <v>701</v>
      </c>
      <c r="C39" s="59" t="s">
        <v>186</v>
      </c>
      <c r="D39" s="58" t="s">
        <v>11</v>
      </c>
    </row>
    <row r="40" spans="2:4" ht="17.25" customHeight="1" x14ac:dyDescent="0.2">
      <c r="B40" s="58">
        <v>702</v>
      </c>
      <c r="C40" s="59" t="s">
        <v>187</v>
      </c>
      <c r="D40" s="58" t="s">
        <v>11</v>
      </c>
    </row>
    <row r="41" spans="2:4" ht="17.25" customHeight="1" x14ac:dyDescent="0.2">
      <c r="B41" s="58">
        <v>703</v>
      </c>
      <c r="C41" s="59" t="s">
        <v>188</v>
      </c>
      <c r="D41" s="58" t="s">
        <v>11</v>
      </c>
    </row>
    <row r="42" spans="2:4" ht="17.25" customHeight="1" x14ac:dyDescent="0.2">
      <c r="B42" s="58">
        <v>791</v>
      </c>
      <c r="C42" s="59" t="s">
        <v>220</v>
      </c>
      <c r="D42" s="58" t="s">
        <v>10</v>
      </c>
    </row>
    <row r="43" spans="2:4" ht="17.25" customHeight="1" x14ac:dyDescent="0.2">
      <c r="B43" s="116" t="s">
        <v>189</v>
      </c>
      <c r="C43" s="117"/>
      <c r="D43" s="118"/>
    </row>
    <row r="44" spans="2:4" ht="17.25" customHeight="1" x14ac:dyDescent="0.2">
      <c r="B44" s="58">
        <v>901</v>
      </c>
      <c r="C44" s="59" t="s">
        <v>190</v>
      </c>
      <c r="D44" s="58" t="s">
        <v>9</v>
      </c>
    </row>
    <row r="45" spans="2:4" ht="17.25" customHeight="1" x14ac:dyDescent="0.2">
      <c r="B45" s="58">
        <v>902</v>
      </c>
      <c r="C45" s="59" t="s">
        <v>191</v>
      </c>
      <c r="D45" s="58" t="s">
        <v>9</v>
      </c>
    </row>
    <row r="46" spans="2:4" ht="17.25" customHeight="1" x14ac:dyDescent="0.2">
      <c r="B46" s="58">
        <v>903</v>
      </c>
      <c r="C46" s="59" t="s">
        <v>192</v>
      </c>
      <c r="D46" s="58" t="s">
        <v>9</v>
      </c>
    </row>
    <row r="47" spans="2:4" ht="17.25" customHeight="1" x14ac:dyDescent="0.2">
      <c r="B47" s="58">
        <v>91</v>
      </c>
      <c r="C47" s="59" t="s">
        <v>193</v>
      </c>
      <c r="D47" s="58" t="s">
        <v>9</v>
      </c>
    </row>
    <row r="48" spans="2:4" ht="17.25" customHeight="1" x14ac:dyDescent="0.2">
      <c r="B48" s="58">
        <v>92</v>
      </c>
      <c r="C48" s="59" t="s">
        <v>194</v>
      </c>
      <c r="D48" s="58" t="s">
        <v>9</v>
      </c>
    </row>
    <row r="49" spans="2:4" ht="17.25" customHeight="1" x14ac:dyDescent="0.2">
      <c r="B49" s="58">
        <v>93</v>
      </c>
      <c r="C49" s="59" t="s">
        <v>195</v>
      </c>
      <c r="D49" s="58" t="s">
        <v>9</v>
      </c>
    </row>
    <row r="50" spans="2:4" x14ac:dyDescent="0.2">
      <c r="B50" s="58">
        <v>981</v>
      </c>
      <c r="C50" s="59" t="s">
        <v>196</v>
      </c>
      <c r="D50" s="58" t="s">
        <v>9</v>
      </c>
    </row>
  </sheetData>
  <mergeCells count="6">
    <mergeCell ref="B43:D43"/>
    <mergeCell ref="B3:D3"/>
    <mergeCell ref="B12:D12"/>
    <mergeCell ref="B23:D23"/>
    <mergeCell ref="B28:D28"/>
    <mergeCell ref="B38:D3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3.1</vt:lpstr>
      <vt:lpstr>3.2</vt:lpstr>
      <vt:lpstr>3.3</vt:lpstr>
      <vt:lpstr>3.4-3.6</vt:lpstr>
      <vt:lpstr>План рахунків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Oleg</cp:lastModifiedBy>
  <cp:lastPrinted>2016-03-24T10:27:35Z</cp:lastPrinted>
  <dcterms:modified xsi:type="dcterms:W3CDTF">2021-01-23T20:18:29Z</dcterms:modified>
</cp:coreProperties>
</file>